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070"/>
  </bookViews>
  <sheets>
    <sheet name="таблица 1 " sheetId="1" r:id="rId1"/>
    <sheet name="таблица 2" sheetId="2" r:id="rId2"/>
    <sheet name="таблица 3 2025-2027 реш 05.12" sheetId="3" r:id="rId3"/>
  </sheets>
  <definedNames>
    <definedName name="_xlnm.Print_Titles" localSheetId="0">'таблица 1 '!$4:$6</definedName>
    <definedName name="_xlnm.Print_Titles" localSheetId="1">'таблица 2'!$3:$4</definedName>
    <definedName name="_xlnm.Print_Titles" localSheetId="2">'таблица 3 2025-2027 реш 05.12'!$4:$6</definedName>
    <definedName name="_xlnm.Print_Area" localSheetId="0">'таблица 1 '!$A$1:$Q$48</definedName>
    <definedName name="_xlnm.Print_Area" localSheetId="1">'таблица 2'!$A$1:$G$26</definedName>
    <definedName name="_xlnm.Print_Area" localSheetId="2">'таблица 3 2025-2027 реш 05.12'!$A$1:$N$98</definedName>
  </definedNames>
  <calcPr calcId="145621" iterateDelta="1E-4"/>
  <fileRecoveryPr repairLoad="1"/>
</workbook>
</file>

<file path=xl/calcChain.xml><?xml version="1.0" encoding="utf-8"?>
<calcChain xmlns="http://schemas.openxmlformats.org/spreadsheetml/2006/main">
  <c r="N96" i="3" l="1"/>
  <c r="N95" i="3"/>
  <c r="N94" i="3"/>
  <c r="N93" i="3"/>
  <c r="N87" i="3" s="1"/>
  <c r="N92" i="3"/>
  <c r="N86" i="3" s="1"/>
  <c r="J91" i="3"/>
  <c r="I91" i="3"/>
  <c r="H91" i="3"/>
  <c r="G91" i="3"/>
  <c r="F91" i="3"/>
  <c r="E91" i="3"/>
  <c r="N91" i="3" s="1"/>
  <c r="D91" i="3"/>
  <c r="J90" i="3"/>
  <c r="I90" i="3"/>
  <c r="H90" i="3"/>
  <c r="G90" i="3"/>
  <c r="F90" i="3"/>
  <c r="E90" i="3"/>
  <c r="D90" i="3"/>
  <c r="N89" i="3"/>
  <c r="N88" i="3"/>
  <c r="I88" i="3"/>
  <c r="D88" i="3"/>
  <c r="J87" i="3"/>
  <c r="I87" i="3"/>
  <c r="H87" i="3"/>
  <c r="G87" i="3"/>
  <c r="F87" i="3"/>
  <c r="E87" i="3"/>
  <c r="D87" i="3"/>
  <c r="J86" i="3"/>
  <c r="I86" i="3"/>
  <c r="H86" i="3"/>
  <c r="G86" i="3"/>
  <c r="G85" i="3" s="1"/>
  <c r="F86" i="3"/>
  <c r="E86" i="3"/>
  <c r="D86" i="3"/>
  <c r="F85" i="3"/>
  <c r="N84" i="3"/>
  <c r="N83" i="3"/>
  <c r="N82" i="3"/>
  <c r="N81" i="3"/>
  <c r="N80" i="3"/>
  <c r="M79" i="3"/>
  <c r="L79" i="3"/>
  <c r="K79" i="3"/>
  <c r="N78" i="3"/>
  <c r="N77" i="3"/>
  <c r="N76" i="3"/>
  <c r="N75" i="3"/>
  <c r="N74" i="3"/>
  <c r="M73" i="3"/>
  <c r="L73" i="3"/>
  <c r="K73" i="3"/>
  <c r="J73" i="3"/>
  <c r="N73" i="3" s="1"/>
  <c r="I73" i="3"/>
  <c r="N72" i="3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N66" i="3"/>
  <c r="N65" i="3"/>
  <c r="J64" i="3"/>
  <c r="I64" i="3"/>
  <c r="H64" i="3"/>
  <c r="G64" i="3"/>
  <c r="G61" i="3" s="1"/>
  <c r="D64" i="3"/>
  <c r="N64" i="3" s="1"/>
  <c r="I63" i="3"/>
  <c r="I61" i="3" s="1"/>
  <c r="H63" i="3"/>
  <c r="N62" i="3"/>
  <c r="M61" i="3"/>
  <c r="L61" i="3"/>
  <c r="K61" i="3"/>
  <c r="J61" i="3"/>
  <c r="F61" i="3"/>
  <c r="E61" i="3"/>
  <c r="D61" i="3"/>
  <c r="H60" i="3"/>
  <c r="N60" i="3" s="1"/>
  <c r="N59" i="3"/>
  <c r="M58" i="3"/>
  <c r="M55" i="3" s="1"/>
  <c r="L58" i="3"/>
  <c r="L55" i="3" s="1"/>
  <c r="K58" i="3"/>
  <c r="K16" i="3" s="1"/>
  <c r="K10" i="3" s="1"/>
  <c r="I58" i="3"/>
  <c r="H58" i="3"/>
  <c r="H16" i="3" s="1"/>
  <c r="H10" i="3" s="1"/>
  <c r="H57" i="3"/>
  <c r="H15" i="3" s="1"/>
  <c r="N56" i="3"/>
  <c r="J55" i="3"/>
  <c r="I55" i="3"/>
  <c r="N54" i="3"/>
  <c r="N53" i="3"/>
  <c r="G52" i="3"/>
  <c r="G49" i="3" s="1"/>
  <c r="N51" i="3"/>
  <c r="N50" i="3"/>
  <c r="F49" i="3"/>
  <c r="E49" i="3"/>
  <c r="D49" i="3"/>
  <c r="N48" i="3"/>
  <c r="N47" i="3"/>
  <c r="N46" i="3"/>
  <c r="N45" i="3"/>
  <c r="N44" i="3"/>
  <c r="M43" i="3"/>
  <c r="L43" i="3"/>
  <c r="K43" i="3"/>
  <c r="J43" i="3"/>
  <c r="I43" i="3"/>
  <c r="H43" i="3"/>
  <c r="G43" i="3"/>
  <c r="F43" i="3"/>
  <c r="E43" i="3"/>
  <c r="D43" i="3"/>
  <c r="N42" i="3"/>
  <c r="N41" i="3"/>
  <c r="N40" i="3"/>
  <c r="N39" i="3"/>
  <c r="N38" i="3"/>
  <c r="M37" i="3"/>
  <c r="L37" i="3"/>
  <c r="K37" i="3"/>
  <c r="N37" i="3" s="1"/>
  <c r="N36" i="3"/>
  <c r="N35" i="3"/>
  <c r="N34" i="3"/>
  <c r="N33" i="3"/>
  <c r="N32" i="3"/>
  <c r="M31" i="3"/>
  <c r="L31" i="3"/>
  <c r="K31" i="3"/>
  <c r="J31" i="3"/>
  <c r="I31" i="3"/>
  <c r="H31" i="3"/>
  <c r="G31" i="3"/>
  <c r="F31" i="3"/>
  <c r="E31" i="3"/>
  <c r="D31" i="3"/>
  <c r="N30" i="3"/>
  <c r="N29" i="3"/>
  <c r="N28" i="3"/>
  <c r="N27" i="3"/>
  <c r="N26" i="3"/>
  <c r="M25" i="3"/>
  <c r="L25" i="3"/>
  <c r="K25" i="3"/>
  <c r="J25" i="3"/>
  <c r="I25" i="3"/>
  <c r="H25" i="3"/>
  <c r="G25" i="3"/>
  <c r="F25" i="3"/>
  <c r="E25" i="3"/>
  <c r="D25" i="3"/>
  <c r="N24" i="3"/>
  <c r="N23" i="3"/>
  <c r="N22" i="3"/>
  <c r="J22" i="3"/>
  <c r="J19" i="3" s="1"/>
  <c r="I22" i="3"/>
  <c r="I16" i="3" s="1"/>
  <c r="N21" i="3"/>
  <c r="N20" i="3"/>
  <c r="M19" i="3"/>
  <c r="L19" i="3"/>
  <c r="K19" i="3"/>
  <c r="I19" i="3"/>
  <c r="H19" i="3"/>
  <c r="G19" i="3"/>
  <c r="F19" i="3"/>
  <c r="E19" i="3"/>
  <c r="D19" i="3"/>
  <c r="M18" i="3"/>
  <c r="M12" i="3" s="1"/>
  <c r="L18" i="3"/>
  <c r="L12" i="3" s="1"/>
  <c r="K18" i="3"/>
  <c r="K12" i="3" s="1"/>
  <c r="J18" i="3"/>
  <c r="J12" i="3" s="1"/>
  <c r="I18" i="3"/>
  <c r="I12" i="3" s="1"/>
  <c r="H18" i="3"/>
  <c r="G18" i="3"/>
  <c r="G12" i="3" s="1"/>
  <c r="F18" i="3"/>
  <c r="F12" i="3" s="1"/>
  <c r="E18" i="3"/>
  <c r="D18" i="3"/>
  <c r="D12" i="3" s="1"/>
  <c r="M17" i="3"/>
  <c r="M11" i="3" s="1"/>
  <c r="L17" i="3"/>
  <c r="L11" i="3" s="1"/>
  <c r="K17" i="3"/>
  <c r="K11" i="3" s="1"/>
  <c r="J17" i="3"/>
  <c r="J11" i="3" s="1"/>
  <c r="I17" i="3"/>
  <c r="H17" i="3"/>
  <c r="G17" i="3"/>
  <c r="F17" i="3"/>
  <c r="F11" i="3" s="1"/>
  <c r="E17" i="3"/>
  <c r="E11" i="3" s="1"/>
  <c r="D17" i="3"/>
  <c r="D11" i="3" s="1"/>
  <c r="J16" i="3"/>
  <c r="J10" i="3" s="1"/>
  <c r="F16" i="3"/>
  <c r="F10" i="3" s="1"/>
  <c r="E16" i="3"/>
  <c r="E10" i="3" s="1"/>
  <c r="M15" i="3"/>
  <c r="M9" i="3" s="1"/>
  <c r="L15" i="3"/>
  <c r="L9" i="3" s="1"/>
  <c r="K15" i="3"/>
  <c r="K9" i="3" s="1"/>
  <c r="J15" i="3"/>
  <c r="J9" i="3" s="1"/>
  <c r="I15" i="3"/>
  <c r="I9" i="3" s="1"/>
  <c r="G15" i="3"/>
  <c r="G9" i="3" s="1"/>
  <c r="F15" i="3"/>
  <c r="E15" i="3"/>
  <c r="D15" i="3"/>
  <c r="M14" i="3"/>
  <c r="M8" i="3" s="1"/>
  <c r="L14" i="3"/>
  <c r="K14" i="3"/>
  <c r="J14" i="3"/>
  <c r="I14" i="3"/>
  <c r="I8" i="3" s="1"/>
  <c r="H14" i="3"/>
  <c r="G14" i="3"/>
  <c r="G8" i="3" s="1"/>
  <c r="F14" i="3"/>
  <c r="E14" i="3"/>
  <c r="E8" i="3" s="1"/>
  <c r="D14" i="3"/>
  <c r="H12" i="3"/>
  <c r="E12" i="3"/>
  <c r="I11" i="3"/>
  <c r="H11" i="3"/>
  <c r="G11" i="3"/>
  <c r="H8" i="3"/>
  <c r="F13" i="3" l="1"/>
  <c r="F7" i="3" s="1"/>
  <c r="H85" i="3"/>
  <c r="F9" i="3"/>
  <c r="N85" i="3"/>
  <c r="N52" i="3"/>
  <c r="N31" i="3"/>
  <c r="E85" i="3"/>
  <c r="K13" i="3"/>
  <c r="K7" i="3" s="1"/>
  <c r="D16" i="3"/>
  <c r="D10" i="3" s="1"/>
  <c r="N63" i="3"/>
  <c r="K55" i="3"/>
  <c r="N49" i="3"/>
  <c r="N15" i="3"/>
  <c r="N9" i="3" s="1"/>
  <c r="N18" i="3"/>
  <c r="N12" i="3" s="1"/>
  <c r="I85" i="3"/>
  <c r="E9" i="3"/>
  <c r="N57" i="3"/>
  <c r="J85" i="3"/>
  <c r="F8" i="3"/>
  <c r="L16" i="3"/>
  <c r="L10" i="3" s="1"/>
  <c r="N90" i="3"/>
  <c r="E13" i="3"/>
  <c r="E7" i="3" s="1"/>
  <c r="M16" i="3"/>
  <c r="M10" i="3" s="1"/>
  <c r="N67" i="3"/>
  <c r="D9" i="3"/>
  <c r="N58" i="3"/>
  <c r="H61" i="3"/>
  <c r="N61" i="3" s="1"/>
  <c r="D85" i="3"/>
  <c r="J13" i="3"/>
  <c r="J7" i="3" s="1"/>
  <c r="N25" i="3"/>
  <c r="N43" i="3"/>
  <c r="N79" i="3"/>
  <c r="H13" i="3"/>
  <c r="H7" i="3" s="1"/>
  <c r="H9" i="3"/>
  <c r="I10" i="3"/>
  <c r="I13" i="3"/>
  <c r="I7" i="3" s="1"/>
  <c r="N19" i="3"/>
  <c r="J8" i="3"/>
  <c r="N17" i="3"/>
  <c r="N11" i="3" s="1"/>
  <c r="K8" i="3"/>
  <c r="L8" i="3"/>
  <c r="H55" i="3"/>
  <c r="N14" i="3"/>
  <c r="D8" i="3"/>
  <c r="G16" i="3"/>
  <c r="D13" i="3" l="1"/>
  <c r="D7" i="3"/>
  <c r="M13" i="3"/>
  <c r="M7" i="3" s="1"/>
  <c r="N55" i="3"/>
  <c r="N16" i="3"/>
  <c r="N10" i="3" s="1"/>
  <c r="L13" i="3"/>
  <c r="L7" i="3" s="1"/>
  <c r="G13" i="3"/>
  <c r="G7" i="3" s="1"/>
  <c r="G10" i="3"/>
  <c r="N13" i="3"/>
  <c r="N7" i="3" s="1"/>
  <c r="N8" i="3"/>
  <c r="Q12" i="1" l="1"/>
  <c r="Q19" i="1"/>
  <c r="Q38" i="1"/>
  <c r="Q41" i="1"/>
  <c r="P41" i="1"/>
  <c r="O41" i="1"/>
  <c r="L41" i="1"/>
  <c r="I41" i="1"/>
  <c r="P38" i="1"/>
  <c r="O38" i="1"/>
  <c r="N38" i="1"/>
  <c r="M38" i="1"/>
  <c r="L38" i="1"/>
  <c r="I38" i="1"/>
  <c r="G38" i="1"/>
  <c r="M30" i="1"/>
  <c r="N30" i="1" s="1"/>
  <c r="I29" i="1"/>
  <c r="J29" i="1" s="1"/>
  <c r="H29" i="1"/>
  <c r="H38" i="1" s="1"/>
  <c r="I28" i="1"/>
  <c r="I8" i="1" s="1"/>
  <c r="P19" i="1"/>
  <c r="O19" i="1"/>
  <c r="N19" i="1"/>
  <c r="M19" i="1"/>
  <c r="L19" i="1"/>
  <c r="K19" i="1"/>
  <c r="J19" i="1"/>
  <c r="I19" i="1"/>
  <c r="H19" i="1"/>
  <c r="G19" i="1"/>
  <c r="F19" i="1"/>
  <c r="L18" i="1"/>
  <c r="K18" i="1"/>
  <c r="J18" i="1"/>
  <c r="I18" i="1"/>
  <c r="N17" i="1"/>
  <c r="N12" i="1" s="1"/>
  <c r="I17" i="1"/>
  <c r="J17" i="1" s="1"/>
  <c r="R16" i="1"/>
  <c r="I16" i="1"/>
  <c r="L14" i="1"/>
  <c r="K14" i="1"/>
  <c r="J14" i="1"/>
  <c r="I14" i="1"/>
  <c r="H14" i="1"/>
  <c r="F14" i="1"/>
  <c r="F12" i="1" s="1"/>
  <c r="P12" i="1"/>
  <c r="O12" i="1"/>
  <c r="H12" i="1"/>
  <c r="G12" i="1"/>
  <c r="H9" i="1"/>
  <c r="G9" i="1"/>
  <c r="Q8" i="1"/>
  <c r="P8" i="1"/>
  <c r="O8" i="1"/>
  <c r="L8" i="1"/>
  <c r="H8" i="1"/>
  <c r="G8" i="1"/>
  <c r="I12" i="1" l="1"/>
  <c r="J38" i="1"/>
  <c r="K29" i="1"/>
  <c r="K38" i="1" s="1"/>
  <c r="N8" i="1"/>
  <c r="N41" i="1"/>
  <c r="K17" i="1"/>
  <c r="L17" i="1" s="1"/>
  <c r="M17" i="1" s="1"/>
  <c r="M12" i="1" s="1"/>
  <c r="J12" i="1"/>
  <c r="M41" i="1"/>
  <c r="J28" i="1"/>
  <c r="M8" i="1"/>
  <c r="L12" i="1" l="1"/>
  <c r="K12" i="1"/>
  <c r="J8" i="1"/>
  <c r="J41" i="1"/>
  <c r="K28" i="1"/>
  <c r="K41" i="1" l="1"/>
  <c r="K8" i="1"/>
</calcChain>
</file>

<file path=xl/comments1.xml><?xml version="1.0" encoding="utf-8"?>
<comments xmlns="http://schemas.openxmlformats.org/spreadsheetml/2006/main">
  <authors>
    <author>Бондаренко Оксана Богдановна</author>
  </authors>
  <commentList>
    <comment ref="L30" authorId="0">
      <text>
        <r>
          <rPr>
            <b/>
            <sz val="9"/>
            <color indexed="81"/>
            <rFont val="Tahoma"/>
            <family val="2"/>
            <charset val="204"/>
          </rPr>
          <t>Бондаренко Оксана Богдановна:</t>
        </r>
        <r>
          <rPr>
            <sz val="9"/>
            <color indexed="81"/>
            <rFont val="Tahoma"/>
            <family val="2"/>
            <charset val="204"/>
          </rPr>
          <t xml:space="preserve">
на 2022 год 8 дворовых по ФКГС, 1 двор дополнительно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Бондаренко Оксана Богдановна:</t>
        </r>
        <r>
          <rPr>
            <sz val="9"/>
            <color indexed="81"/>
            <rFont val="Tahoma"/>
            <family val="2"/>
            <charset val="204"/>
          </rPr>
          <t xml:space="preserve">
в 2016 году малые проекты
</t>
        </r>
      </text>
    </comment>
    <comment ref="L32" authorId="0">
      <text>
        <r>
          <rPr>
            <b/>
            <sz val="9"/>
            <color indexed="81"/>
            <rFont val="Tahoma"/>
            <family val="2"/>
            <charset val="204"/>
          </rPr>
          <t>Бондаренко Оксана Богдановна:</t>
        </r>
        <r>
          <rPr>
            <sz val="9"/>
            <color indexed="81"/>
            <rFont val="Tahoma"/>
            <family val="2"/>
            <charset val="204"/>
          </rPr>
          <t xml:space="preserve">
предусмотерна реализация 10 проектов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Бондаренко Оксана Богдановна:</t>
        </r>
        <r>
          <rPr>
            <sz val="9"/>
            <color indexed="81"/>
            <rFont val="Tahoma"/>
            <family val="2"/>
            <charset val="204"/>
          </rPr>
          <t xml:space="preserve">
уровень выполнения обязательств муниципалитета в ГИС ЖКХ 9/15
</t>
        </r>
      </text>
    </comment>
    <comment ref="G40" authorId="0">
      <text>
        <r>
          <rPr>
            <b/>
            <sz val="9"/>
            <color indexed="81"/>
            <rFont val="Tahoma"/>
            <family val="2"/>
            <charset val="204"/>
          </rPr>
          <t>Бондаренко Оксана Богдановна:</t>
        </r>
        <r>
          <rPr>
            <sz val="9"/>
            <color indexed="81"/>
            <rFont val="Tahoma"/>
            <family val="2"/>
            <charset val="204"/>
          </rPr>
          <t xml:space="preserve">
40 прессрелизов, 1 встреча с населением, 30 публикаций в СМИ</t>
        </r>
      </text>
    </comment>
  </commentList>
</comments>
</file>

<file path=xl/sharedStrings.xml><?xml version="1.0" encoding="utf-8"?>
<sst xmlns="http://schemas.openxmlformats.org/spreadsheetml/2006/main" count="640" uniqueCount="209">
  <si>
    <t>Приложение к постановлению администрации МО ГО "Сыктывкар" от _______ №__________</t>
  </si>
  <si>
    <t>"Приложение 1
к муниципальной программе
Таблица 1</t>
  </si>
  <si>
    <t xml:space="preserve">Сведения о целевых показателях (индикаторах) муниципальной программы МО ГО "Сыктывкар" "Развитие современной городской среды ", подпрограмм, основных мероприятий
муниципальной программы и их значениях
</t>
  </si>
  <si>
    <t xml:space="preserve"> N п/п</t>
  </si>
  <si>
    <t>Наименование муниципальной программы, подпрограмм, основных мероприятий</t>
  </si>
  <si>
    <t>Ответственный исполнитель (соисполнитель, участник), ответственный за реализацию</t>
  </si>
  <si>
    <t xml:space="preserve">  Наименование показателя </t>
  </si>
  <si>
    <t xml:space="preserve">Единица измерения  </t>
  </si>
  <si>
    <t xml:space="preserve">Значение показателя конечного и непосредственного результатов по годам реализации муниципальной программы
</t>
  </si>
  <si>
    <t>2016 (факт)</t>
  </si>
  <si>
    <t>2017 (оценка)</t>
  </si>
  <si>
    <t>Муниципальная программа  МО ГО "Сыктывкар" "Развитие современной городской среды "</t>
  </si>
  <si>
    <t>Цель: Повышение качества и комфорта городской среды на территории МО ГО "Сыктывкар"</t>
  </si>
  <si>
    <t>УЖКХ АМО ГО "Сыктывкар", Администрация Эжвинского района МО ГО "Сыктывкар", Управление дорожной инфраструктуры, транспорта и связи администрации МО ГО "Сыктывкар"</t>
  </si>
  <si>
    <t>Количество реализованных проектов благоустройства в рамках муниципальной программы (нарастающим итогом)</t>
  </si>
  <si>
    <t>ед.</t>
  </si>
  <si>
    <t>не изм.</t>
  </si>
  <si>
    <t>УЖКХ АМО ГО "Сыктывкар",                                             администрация Эжвинского района МО ГО "Сыктывкар"</t>
  </si>
  <si>
    <t xml:space="preserve">Доля проектов благоустройства территорий, реализованных с финансовым и/или трудовым участием граждан, организаций, в общем количестве реализованных проектов благоустройства территорий </t>
  </si>
  <si>
    <t>%</t>
  </si>
  <si>
    <t>-</t>
  </si>
  <si>
    <t>УЖКХ АМО ГО "Сыктывкар",  администрация Эжвинского района МО ГО "Сыктывкар",  Управление культуры администрации МО ГО "Сыктывкар", Управление физической культуры и спорта администрации МО ГО "Сыктывкар"</t>
  </si>
  <si>
    <t xml:space="preserve">Доля проектов благоустройства территорий, реализованных с участием граждан, организаций, в общем количестве реализованных проектов благоустройства территорий </t>
  </si>
  <si>
    <t xml:space="preserve">1. Подпрограмма «Благоустройство территорий МО ГО "Сыктывкар"  </t>
  </si>
  <si>
    <t>Цель:  Повышение уровня благоустройства территорий МО ГО "Сыктывкар"</t>
  </si>
  <si>
    <t>УЖКХ АМО ГО "Сыктывкар", администрация Эжвинского района МО ГО "Сыктывкар",  УАГС и З администрации МО ГО "Сыктывкар"</t>
  </si>
  <si>
    <t>Уровень благоустройства общественных территорий (нарастающим итогом)</t>
  </si>
  <si>
    <t xml:space="preserve"> %</t>
  </si>
  <si>
    <t>количество общ территорий (город)</t>
  </si>
  <si>
    <t>количество благоустроенных территорий (город)</t>
  </si>
  <si>
    <t>количество общ территорий (Эжва)</t>
  </si>
  <si>
    <t>количество благоустроенных территорий (Эжва)</t>
  </si>
  <si>
    <t xml:space="preserve">количество территорий </t>
  </si>
  <si>
    <t xml:space="preserve">количество благоустроенных территорий </t>
  </si>
  <si>
    <t>Уровень благоустройства дворовых территорий (нарастающим итогом)</t>
  </si>
  <si>
    <t>Задача 1. Обеспечение комфортного состояния территорий МО ГО "Сыктывкар"</t>
  </si>
  <si>
    <t xml:space="preserve">Основное мероприятие 1.  Благоустройство территорий общего пользования. </t>
  </si>
  <si>
    <t>УЖКХ АМО ГО "Сыктывкар", администрация Эжвинского района МО ГО "Сыктывкар", Управление дорожной инфраструктуры, транспорта и связи администрации МО ГО "Сыктывкар", УАГС и З администрации МО ГО "Сыктывкар"</t>
  </si>
  <si>
    <t>Доля территорий общего пользования МО ГО "Сыктывкар", в отношении которых заключены муниципальные контракты (договоры) по их содержанию,  в общей площади территорий общего пользования</t>
  </si>
  <si>
    <t>Основное мероприятие 2. Осуществление переданного государственного полномочия по организации деятельности по обращению с животными без владельцев</t>
  </si>
  <si>
    <t>УЖКХ АМО ГО "Сыктывкар", администрация Эжвинского района МО ГО "Сыктывкар"</t>
  </si>
  <si>
    <t>Количество отловленных безнадзорных животных за счет средств республиканского бюджета Республики Коми</t>
  </si>
  <si>
    <t xml:space="preserve">Основное мероприятие 3. Озеленение территории </t>
  </si>
  <si>
    <t>УЖКХ АМО ГО "Сыктывкар",  администрация Эжвинского района МО ГО "Сыктывкар"</t>
  </si>
  <si>
    <t>Площадь территорий общего пользования, в отношении которых проведены мероприятия по озеленению в текущем году</t>
  </si>
  <si>
    <t>тыс.кв.м.</t>
  </si>
  <si>
    <t xml:space="preserve">Основное мероприятие 4.Организация уличного освещения </t>
  </si>
  <si>
    <t>Протяженность сетей уличного освещения, в отношении которых заключены муниципальные контракты (договоры, соглашения) по их содержанию</t>
  </si>
  <si>
    <t>км</t>
  </si>
  <si>
    <t>_</t>
  </si>
  <si>
    <t>Доля сетей уличного освещения, в отношении которых заключены муниципальные контракты (договоры) по их содержанию,  в общей протяженности сетей уличного освещения находящейся в муниципальной собственности</t>
  </si>
  <si>
    <t>Задача 2. Развитие благоустройства на территории МО ГО "Сыктывкар"</t>
  </si>
  <si>
    <t>Основное мероприятие 5.  Реализация отдельных мероприятий регионального проекта "Формирование комфортной городской среды"</t>
  </si>
  <si>
    <t>Количество реализованных проектов благоустройства дворовых  территорий (нарастающим итогом)</t>
  </si>
  <si>
    <t>Количество реализованных проектов благоустройства общественных территорий (нарастающим итогом)</t>
  </si>
  <si>
    <t>Основное мероприятие 5.1.  Качественное улучшение состояния территорий, в том числе в рамках реализации мероприятий регионального проекта "Формирование комфортной городской среды"</t>
  </si>
  <si>
    <t xml:space="preserve">Основное мероприятие 6. Инициативные проекты
</t>
  </si>
  <si>
    <t>Количество реализованных проектов в сфере благоустройства (нарастающим итогом)</t>
  </si>
  <si>
    <t>Основное мероприятие 7. Строительство и реконструкция объектов благоустройства</t>
  </si>
  <si>
    <t>УЖКХ АМО ГО "Сыктывкар",администрация Эжвинского района МО ГО "Сыктывкар",  УАГС и З администрации МО ГО "Сыктывкар"</t>
  </si>
  <si>
    <t xml:space="preserve">Процент выполнения запланированных объемов работ по строительству и реконструкции объектов благоустройства (на конец года)  </t>
  </si>
  <si>
    <t>Основное мероприятие 8. Энергосбережение и повышение энергетической эффективности в сфере благоустройства</t>
  </si>
  <si>
    <t>УЖКХ АМО ГО "Сыктывкар", Администрация Эжвинского района МО ГО "Сыктывкар"</t>
  </si>
  <si>
    <t xml:space="preserve">Доля энергоэффективных источников света в системах уличного освещения на территории муниципального образования </t>
  </si>
  <si>
    <t>2.  Подпрограмма "Управление реализацией проектами благоустройства на территории МО ГО "Сыктывкар"</t>
  </si>
  <si>
    <t>Цель: Внедрение единых подходов и современных механизмов реализации проектов благоустройства.</t>
  </si>
  <si>
    <t>Наличие актуальной информации о ходе реализации муниципальной программы  в государственной информационной системе жилищно-коммунального хозяйства (ГИС ЖКХ)</t>
  </si>
  <si>
    <t>да/нет</t>
  </si>
  <si>
    <t>да</t>
  </si>
  <si>
    <t>Количество проведенных общественных обсуждений по проектам благоустройства  (нарастающим итогом)</t>
  </si>
  <si>
    <t>Задача 1. Повышение уровня вовлеченности заинтересованных граждан, организаций в реализации мероприятий по благоустройству территории МО ГО "Сыктывкар".</t>
  </si>
  <si>
    <t>Основное мероприятие 9.Обеспечение информирования граждан о реализации мероприятий по благоустройству</t>
  </si>
  <si>
    <t>Управление информации и социальных коммуникаций администрации МО ГО "Сыктывкар",  УЖКХ АМО ГО "Сыктывкар", администрация Эжвинского района МО ГО "Сыктывкар"</t>
  </si>
  <si>
    <t>Количество реализованных мероприятий, направленных на информирование и вовлечение граждан и организаций в реализацию проектов по благоустройству (в год)</t>
  </si>
  <si>
    <t>Основное мероприятие 10.Организация вовлечения граждан и бизнеса в реализацию проектов по благоустройству</t>
  </si>
  <si>
    <t>УЖКХ АМО ГО "Сыктывкар",  администрация Эжвинского района МО ГО "Сыктывкар", Управление экономики и анализа администрации МО ГО "Сыктывкар"</t>
  </si>
  <si>
    <t>Количество проектов благоустройства территорий, реализованных с финансовым и/или трудовым участием граждан, организаций (нарастающим итогом)</t>
  </si>
  <si>
    <t>Задача 2. Обеспечение благоустройства территорий МО ГО "Сыктывкар" в соответствии с едиными требованиями.</t>
  </si>
  <si>
    <t>Основное мероприятие 11. Организация работы общественной комиссии по обеспечению реализации регионального проекта  «Формирование комфортной городской среды» на территории МО ГО "Сыктывкар"</t>
  </si>
  <si>
    <t>Количество заседаний общественной комиссии по обеспечению реализации приоритетного проекта «Формирование комфортной городской среды» (в год)</t>
  </si>
  <si>
    <t>Основное мероприятие 12. Организация контроля за соблюдением Правил благоустройства МО ГО "Сыктывкар"</t>
  </si>
  <si>
    <t>Количество проведенных контрольно-надзорных мероприятий в рамках Федерального закона от 31.07.2020 N 248-ФЗ "О государственном контроле (надзоре) и муниципальном контроле в Российской Федерации" и рассмотренных административной комиссией материалов по нарушению Правил благоустройства МО ГО "Сыктывкар" (в год)</t>
  </si>
  <si>
    <t>Управление контроля администрации МО ГО "Сыктывкар", администрация Эжвинского района МО ГО "Сыктывкар"</t>
  </si>
  <si>
    <t xml:space="preserve">Количество проведенных контрольных (надзорных) и профилактических мероприятий (в том числе без взаимодействия) в рамках Федерального закона от 31.07.2020 N 248-ФЗ "О государственном контроле (надзоре) и муниципальном контроле в Российской Федерации" (в год)
</t>
  </si>
  <si>
    <t xml:space="preserve"> </t>
  </si>
  <si>
    <t>город</t>
  </si>
  <si>
    <t>Эжва</t>
  </si>
  <si>
    <t>Основное мероприятие 8.1. Реализация отдельных полномочий в отношении гидротехнических (берегоукрепительных) сооружений</t>
  </si>
  <si>
    <t>УЖКХ АМО ГО "Сыктывкар", УАГС и З администрации МО ГО "Сыктывкар"</t>
  </si>
  <si>
    <t xml:space="preserve">Количество гидротехнических (берегоукрепительных) сооружений, в отношении которых утверждена декларация безопасности и обеспечено содержание
</t>
  </si>
  <si>
    <t>Основное мероприятие 3.1. Инвентаризация зеленых насаждений</t>
  </si>
  <si>
    <t>кв.м.</t>
  </si>
  <si>
    <t xml:space="preserve">Таблица 2 </t>
  </si>
  <si>
    <t xml:space="preserve">Перечень ведомственных целевых программ и основных мероприятий муниципальной программы МО ГО "Сыктывкар" "Развитие современной городской среды "
</t>
  </si>
  <si>
    <t xml:space="preserve">Номер и наименование ведомственной целевой программы, основного мероприятия
</t>
  </si>
  <si>
    <t>Ответственный исполнитель</t>
  </si>
  <si>
    <t>Срок начала и окончания реализации</t>
  </si>
  <si>
    <t xml:space="preserve">   Ожидаемый непосредственный результат (краткое описание)</t>
  </si>
  <si>
    <t xml:space="preserve">Последствия нереализации ведомственной целевой программы, основного мероприятия
</t>
  </si>
  <si>
    <t xml:space="preserve">   Связь с  целевыми показателями (индикаторами) муниципальной программы (подпрограммы)  </t>
  </si>
  <si>
    <t xml:space="preserve">1. Подпрограмма «Благоустройство территорий МО ГО «Сыктывкар»  </t>
  </si>
  <si>
    <t>Цель:Повышение уровня благоустройства территорий МО ГО «Сыктывкар»</t>
  </si>
  <si>
    <t>Задача 1.Обеспечение комфортного состояния территорий МО ГО "Сыктывкар"</t>
  </si>
  <si>
    <t>Основное мероприятие 1.  Благоустройство территорий общего пользования</t>
  </si>
  <si>
    <t xml:space="preserve">Сохранение облика и поддержание санитарного состояния общественных территорий  в соответствии с нормативными требованиями, обеспечение содержания территорий общего пользования в полном объеме   
</t>
  </si>
  <si>
    <t>Ухудшение облика и санитарного состояния общественных территорий</t>
  </si>
  <si>
    <t>Количество реализованных проектов благоустройства в рамках муниципальной программы; Уровень благоустройства общественных территорий; Доля территорий общего пользования, в отношении которых заключены муниципальные контракты (договоры) по их содержанию,  в общей площади территорий общего пользования</t>
  </si>
  <si>
    <t>УЖКХ АМО ГО "Сыктывкар", администрация Эжвинского района МО ГО «Сыктывкар»</t>
  </si>
  <si>
    <t xml:space="preserve">Поддержание санитарного состояния общественных территорий, предупреждение возникновения источников опасных болезней, переносимых безнадзорными животными
</t>
  </si>
  <si>
    <t>Ухудшение условий проживания населения</t>
  </si>
  <si>
    <t>Уровень благоустройства общественных территорий; Количество отловленных безнадзорных животных за счет средств республиканского бюджета Республики Коми</t>
  </si>
  <si>
    <t>Сохранение площади территорий общего пользования, в отношении которых проведены мероприятия по озеленению.</t>
  </si>
  <si>
    <t>Количество реализованных проектов благоустройства в рамках муниципальной программы;Уровень благоустройства общественных территорий; Площадь территорий общего пользования, в отношении которых проведены мероприятия по озеленению в текущем году</t>
  </si>
  <si>
    <t>Улучшение освещённости общественных территорий, увеличение протяжённости сетей уличного освещения, отвечающих нормативным требованиям, от общей протяжённости сетей уличного освещения</t>
  </si>
  <si>
    <t>Ухудшение условий проживания населения, повышение аварийности на дорогах и травматизма населения</t>
  </si>
  <si>
    <t>Количество реализованных проектов благоустройства в рамках муниципальной программы; Уровень благоустройства общественных территорий; Доля сетей уличного освещения, в отношении которых заключены муниципальные контракты (договоры) по их содержанию,  в общей протяженности сетей уличного освещения находящейся в муниципальной собственности</t>
  </si>
  <si>
    <t>Задача 2.Развитие благоустройства на территории МО ГО "Сыктывкар"</t>
  </si>
  <si>
    <t>УЖКХ АМО ГО "Сыктывкар", Администрация Эжвинского района МО ГО «Сыктывкар»</t>
  </si>
  <si>
    <t>2018-2021</t>
  </si>
  <si>
    <t xml:space="preserve">Создание современной городской среды и повышение комфортности проживания населения
</t>
  </si>
  <si>
    <t xml:space="preserve">Ухудшение облика и санитарного состояния общественных территорий
</t>
  </si>
  <si>
    <t>Количество реализованных проектов благоустройства в рамках муниципальной программы; Уровень благоустройства общественных территорий; Уровень благоустройства  дворовых территорий; Количество реализованных проектов благоустройства дворовых  территорий; Количество реализованных проектов благоустройства общественных территорий</t>
  </si>
  <si>
    <t>Основное мероприятие 5.1. Качественное улучшение состояния территорий, в том числе в рамках реализации мероприятий регионального проекта "Формирование комфортной городской среды"</t>
  </si>
  <si>
    <t>Основное мероприятие 6. Инициативные проекты</t>
  </si>
  <si>
    <t>Количество реализованных проектов благоустройства в рамках муниципальной программы; Количество реализованных  проектов в сфере благоустройства</t>
  </si>
  <si>
    <t>Достижение запланированных уровней технической готовности по объекту благоустройства. Улучшение облика МО ГО "Сыктывкар".</t>
  </si>
  <si>
    <t xml:space="preserve">Количество реализованных проектов благоустройства в рамках муниципальной программы; Уровень благоустройства общественных территорий; Процент выполнения запланированных объемов работ по строительству и реконструкции объектов благоустройства (на конец года)  </t>
  </si>
  <si>
    <t xml:space="preserve">Достижение запланированного показателя доли энергоэффективных источников света в системах уличного освещения на территории муниципального образования </t>
  </si>
  <si>
    <t xml:space="preserve"> Отсутствие  снижения потребления электрической энергии в системах уличного освещения </t>
  </si>
  <si>
    <t xml:space="preserve">Количество реализованных проектов благоустройства в рамках муниципальной программы; Уровень благоустройства общественных территорий; Доля энергоэффективных источников света в системах уличного освещения на территории муниципального образования </t>
  </si>
  <si>
    <t>Задача 1. Повышение уровня вовлеченности заинтересованных граждан, организаций в реализации мероприятий по благоустройству территории МО ГО «Сыктывкар».</t>
  </si>
  <si>
    <t>Основное мероприятие 9. Обеспечение информирования граждан о реализации мероприятий по благоустройству</t>
  </si>
  <si>
    <t>Управление информации и социальных коммуникаций администрации МО ГО "Сыктывкар",  УЖКХ АМО ГО "Сыктывкар", администрация Эжвинского района МО ГО «Сыктывкар»</t>
  </si>
  <si>
    <t>Повышение информированости граждан о реализации мероприятий по благоустройству</t>
  </si>
  <si>
    <t>Снижение уровня удовлетворенности населения состоянием общественных территорий</t>
  </si>
  <si>
    <t>Доля проектов благоустройства территорий, реализованных с  участием граждан, организаций, в общем количестве реализованных проектов благоустройства территорий; Наличие актуальной информации о ходе реализации муниципальной программы  в государственной информационной системе жилищно-коммунального хозяйства (ГИС ЖКХ); Количество реализованных мероприятий, направленных на информирование и вовлечение граждан и организаций в реализацию проектов по благоустройству</t>
  </si>
  <si>
    <t xml:space="preserve">Вовлечение граждан и бизнеса в реализацию проектов по благоустройству 
</t>
  </si>
  <si>
    <t>Доля проектов благоустройства территорий, реализованных с  участием граждан, организаций, в общем количестве реализованных проектов благоустройства территорий; Количество проведенных общественных обсуждений по проектам благоустройства; Количество проектов благоустройства территорий, реализованных с финансовым и/или трудовым участием граждан, организаций</t>
  </si>
  <si>
    <t>Задача 2. Обеспечение благоустройства территорий МО ГО «Сыктывкар» в соответствии с едиными требованиями.</t>
  </si>
  <si>
    <t>Основное мероприятие 11. Организация работы общественной комиссии по обеспечению реализации регионального проекта  "Формирование комфортной городской среды" на территории МО ГО "Сыктывкар"</t>
  </si>
  <si>
    <t>УЖКХ АМО ГО "Сыктывкар",                                             администрация Эжвинского района МО ГО «Сыктывкар»</t>
  </si>
  <si>
    <t xml:space="preserve"> Выполнение работ по благоустройству  в соответствии с едиными требованиями.</t>
  </si>
  <si>
    <t>Доля проектов благоустройства территорий, реализованных с  участием граждан, организаций, в общем количестве реализованных проектов благоустройства территорий; Количество заседаний общественной комиссии по обеспечению реализации регионального проекта  «Формирование комфортной городской среды» на территории МО ГО "Сыктывкар"</t>
  </si>
  <si>
    <t xml:space="preserve">Соблюдение гражданами и организациями Правил благоустройства МО ГО "Сыктывкар" </t>
  </si>
  <si>
    <t>Доля проектов благоустройства территорий, реализованных с  участием граждан, организаций, в общем количестве реализованных проектов благоустройства территорий; Количество проведенных контрольных (надзорных) и профилактических мероприятий, в том числе без взаимодействия, в рамках Федерального закона от 31.07.2020 N 248-ФЗ "О государственном контроле (надзоре) и муниципальном контроле в Российской Федерации" (в год)</t>
  </si>
  <si>
    <t>2023-2027</t>
  </si>
  <si>
    <t>2018-2027</t>
  </si>
  <si>
    <t>2022-2027</t>
  </si>
  <si>
    <t>2024 - 2026</t>
  </si>
  <si>
    <t>Обеспечение требований законодательства в отношении гидротехнических (берегоукрепительных) сооружений</t>
  </si>
  <si>
    <t>Нарушение требований законодательства в отношении гидротехнических (берегоукрепительных) сооружений</t>
  </si>
  <si>
    <t>Количество реализованных проектов благоустройства в рамках муниципальной программы; Уровень благоустройства общественных территорий; Количество гидротехнических (берегоукрепительных) сооружений, в отношении которых утверждена декларация безопасности и обеспечено содержание</t>
  </si>
  <si>
    <t>Основное мероприятие3.1. инвентаризация зеленых насаждений</t>
  </si>
  <si>
    <t>2025-2027</t>
  </si>
  <si>
    <t>Учет зененых насаждений</t>
  </si>
  <si>
    <t>Приложение к постановлению администрации МО ГО "Сыктывкар" от _______ № ________</t>
  </si>
  <si>
    <t>Таблица 3</t>
  </si>
  <si>
    <t xml:space="preserve">Ресурсное обеспечение и прогнозная (справочная) оценка расходов федерального бюджета, республиканского бюджета
Республики Коми, бюджета МО ГО "Сыктывкар" и внебюджетных источников на реализацию
целей муниципальной программы МО ГО "Сыктывкар" "Развитие современной городской среды"
</t>
  </si>
  <si>
    <t xml:space="preserve">   Статус    </t>
  </si>
  <si>
    <t>Наименование муниципальной программы, подпрограммы,основного мероприятия</t>
  </si>
  <si>
    <t>Источник финансирования</t>
  </si>
  <si>
    <t>Оценка расходов (тыс. руб.), годы:</t>
  </si>
  <si>
    <t>Всего</t>
  </si>
  <si>
    <t>Муниципальная программа</t>
  </si>
  <si>
    <t xml:space="preserve">Развитие современной городской среды </t>
  </si>
  <si>
    <t xml:space="preserve">Всего, в том числе:                   </t>
  </si>
  <si>
    <t xml:space="preserve">федеральный  бюджет  </t>
  </si>
  <si>
    <t>республиканский бюджет Республики Коми</t>
  </si>
  <si>
    <t xml:space="preserve">бюджет МО ГО  "Сыктывкар" </t>
  </si>
  <si>
    <t>средства от приносящей доход деятельности</t>
  </si>
  <si>
    <t xml:space="preserve">внебюджетные источники   </t>
  </si>
  <si>
    <t>1.Подпрограмма</t>
  </si>
  <si>
    <t xml:space="preserve"> Благоустройство территорий МО ГО "Сыктывкар"  </t>
  </si>
  <si>
    <t xml:space="preserve">средства от приносящей доход деятельности </t>
  </si>
  <si>
    <t>Основное мероприятие 1.</t>
  </si>
  <si>
    <t>Благоустройство территорий общего пользования</t>
  </si>
  <si>
    <t>Основное мероприятие 2.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</si>
  <si>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</si>
  <si>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Основное мероприятие 3.</t>
  </si>
  <si>
    <t xml:space="preserve">Озеленение территории </t>
  </si>
  <si>
    <t xml:space="preserve">средства от приносящей доход деятельности  </t>
  </si>
  <si>
    <t>Основное мероприятие 3.1.</t>
  </si>
  <si>
    <t xml:space="preserve">Инвентаризация зеленых насаждений </t>
  </si>
  <si>
    <t>х</t>
  </si>
  <si>
    <t>Основное мероприятие 4.</t>
  </si>
  <si>
    <t xml:space="preserve">Организация уличного освещения </t>
  </si>
  <si>
    <t>Основное мероприятие 5.</t>
  </si>
  <si>
    <t>Реализация отдельных мероприятий регионального проекта "Формирование комфортной городской среды"</t>
  </si>
  <si>
    <t>F2</t>
  </si>
  <si>
    <t>Основное мероприятие 5.1.</t>
  </si>
  <si>
    <t>Качественное улучшение состояния территорий, в том числе в рамках реализации мероприятий регионального проекта "Формирование комфортной городской среды"</t>
  </si>
  <si>
    <t>Основное мероприятие 6.</t>
  </si>
  <si>
    <t>Инициативные проекты</t>
  </si>
  <si>
    <t>Основное мероприятие 7.</t>
  </si>
  <si>
    <t>Строительство и реконструкция объектов благоустройства</t>
  </si>
  <si>
    <t>Основное мероприятие 8.</t>
  </si>
  <si>
    <t>Энергосбережение и повышение энергетической эффективности в сфере благоустройства</t>
  </si>
  <si>
    <t>Основное мероприятие 8.1.</t>
  </si>
  <si>
    <t xml:space="preserve">Реализация отдельных полномочий в отношении гидротехнических (берегоукрепительных) сооружений
</t>
  </si>
  <si>
    <t>2.Подпрограмма</t>
  </si>
  <si>
    <t xml:space="preserve"> Управление реализацией проектами благоустройства на территории МО ГО "Сыктывкар"</t>
  </si>
  <si>
    <t>Основное мероприятие 9.</t>
  </si>
  <si>
    <t>Обеспечение информирования граждан о реализации мероприятий по благоустройству</t>
  </si>
  <si>
    <t>".</t>
  </si>
  <si>
    <t>Площадь озеленных территорий общего пользования, в отношении которых проведен учет зеленых насаждений (нарастающим итогом)</t>
  </si>
  <si>
    <t>272*</t>
  </si>
  <si>
    <t>* -данные будут уточнены</t>
  </si>
  <si>
    <t>2024*</t>
  </si>
  <si>
    <t>* - данные будут откорректированы в соответствии со сводной бюджетной росписью на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</si>
</sst>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7030A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" fillId="0" borderId="0"/>
  </cellStyleXfs>
  <cellXfs count="15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0" xfId="0" applyFont="1" applyFill="1"/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/>
    <xf numFmtId="0" fontId="8" fillId="2" borderId="0" xfId="0" applyFont="1" applyFill="1"/>
    <xf numFmtId="1" fontId="7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Fill="1"/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6" fillId="0" borderId="0" xfId="0" applyFont="1" applyFill="1"/>
    <xf numFmtId="0" fontId="17" fillId="0" borderId="0" xfId="0" applyFont="1" applyFill="1"/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" fontId="14" fillId="2" borderId="2" xfId="0" applyNumberFormat="1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shrinkToFit="1"/>
    </xf>
    <xf numFmtId="165" fontId="18" fillId="2" borderId="3" xfId="0" applyNumberFormat="1" applyFont="1" applyFill="1" applyBorder="1" applyAlignment="1">
      <alignment horizontal="center" vertical="center" shrinkToFit="1"/>
    </xf>
    <xf numFmtId="165" fontId="18" fillId="0" borderId="3" xfId="0" applyNumberFormat="1" applyFont="1" applyFill="1" applyBorder="1" applyAlignment="1">
      <alignment horizontal="center" vertical="center" shrinkToFit="1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 shrinkToFit="1"/>
    </xf>
    <xf numFmtId="165" fontId="18" fillId="2" borderId="2" xfId="0" applyNumberFormat="1" applyFont="1" applyFill="1" applyBorder="1" applyAlignment="1">
      <alignment horizontal="center" vertical="center" shrinkToFit="1"/>
    </xf>
    <xf numFmtId="165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left" vertical="center" wrapText="1" shrinkToFit="1"/>
    </xf>
    <xf numFmtId="165" fontId="18" fillId="2" borderId="2" xfId="0" applyNumberFormat="1" applyFont="1" applyFill="1" applyBorder="1" applyAlignment="1">
      <alignment horizontal="center" vertical="center" wrapText="1" shrinkToFit="1"/>
    </xf>
    <xf numFmtId="165" fontId="18" fillId="0" borderId="2" xfId="0" applyNumberFormat="1" applyFont="1" applyFill="1" applyBorder="1" applyAlignment="1">
      <alignment horizontal="center" vertical="center" wrapText="1" shrinkToFit="1"/>
    </xf>
    <xf numFmtId="165" fontId="18" fillId="2" borderId="3" xfId="0" applyNumberFormat="1" applyFont="1" applyFill="1" applyBorder="1" applyAlignment="1">
      <alignment horizontal="center" vertical="center" wrapText="1" shrinkToFit="1"/>
    </xf>
    <xf numFmtId="165" fontId="18" fillId="0" borderId="3" xfId="0" applyNumberFormat="1" applyFont="1" applyFill="1" applyBorder="1" applyAlignment="1">
      <alignment horizontal="center" vertical="center" wrapText="1" shrinkToFit="1"/>
    </xf>
    <xf numFmtId="0" fontId="1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left" vertical="center" shrinkToFit="1"/>
    </xf>
    <xf numFmtId="0" fontId="18" fillId="2" borderId="2" xfId="0" applyFont="1" applyFill="1" applyBorder="1" applyAlignment="1">
      <alignment vertical="top" wrapText="1"/>
    </xf>
    <xf numFmtId="4" fontId="18" fillId="0" borderId="0" xfId="0" applyNumberFormat="1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9" fillId="0" borderId="0" xfId="0" applyFont="1" applyBorder="1" applyAlignment="1">
      <alignment horizontal="left" vertical="center"/>
    </xf>
    <xf numFmtId="166" fontId="2" fillId="2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165" fontId="18" fillId="2" borderId="0" xfId="0" applyNumberFormat="1" applyFont="1" applyFill="1" applyBorder="1" applyAlignment="1">
      <alignment horizontal="center" vertical="center" shrinkToFit="1"/>
    </xf>
    <xf numFmtId="165" fontId="18" fillId="0" borderId="0" xfId="0" applyNumberFormat="1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left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48"/>
  <sheetViews>
    <sheetView tabSelected="1" showRuler="0" view="pageBreakPreview" topLeftCell="A43" zoomScale="70" zoomScaleSheetLayoutView="70" workbookViewId="0">
      <selection activeCell="D24" sqref="D24"/>
    </sheetView>
  </sheetViews>
  <sheetFormatPr defaultColWidth="9.140625" defaultRowHeight="15.75" x14ac:dyDescent="0.25"/>
  <cols>
    <col min="1" max="1" width="4.28515625" style="1" customWidth="1"/>
    <col min="2" max="2" width="39.28515625" style="2" customWidth="1"/>
    <col min="3" max="3" width="60" style="2" customWidth="1"/>
    <col min="4" max="4" width="57.7109375" style="3" customWidth="1"/>
    <col min="5" max="5" width="12.140625" style="1" customWidth="1"/>
    <col min="6" max="6" width="15.42578125" style="1" customWidth="1"/>
    <col min="7" max="7" width="15.5703125" style="1" customWidth="1"/>
    <col min="8" max="8" width="15" style="1" customWidth="1"/>
    <col min="9" max="9" width="15.5703125" style="1" customWidth="1"/>
    <col min="10" max="10" width="16.140625" style="1" customWidth="1"/>
    <col min="11" max="11" width="15.140625" style="1" customWidth="1"/>
    <col min="12" max="12" width="14.42578125" style="56" customWidth="1"/>
    <col min="13" max="14" width="14.42578125" style="57" customWidth="1"/>
    <col min="15" max="15" width="13.85546875" style="4" customWidth="1"/>
    <col min="16" max="16" width="13.140625" style="4" customWidth="1"/>
    <col min="17" max="17" width="13.42578125" style="4" customWidth="1"/>
    <col min="18" max="16384" width="9.140625" style="4"/>
  </cols>
  <sheetData>
    <row r="1" spans="1:18" x14ac:dyDescent="0.25">
      <c r="E1" s="130" t="s">
        <v>0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8" s="1" customFormat="1" ht="59.2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43.5" customHeight="1" x14ac:dyDescent="0.25">
      <c r="A3" s="132" t="s">
        <v>2</v>
      </c>
      <c r="B3" s="132"/>
      <c r="C3" s="132"/>
      <c r="D3" s="132"/>
      <c r="E3" s="132"/>
      <c r="F3" s="133"/>
      <c r="G3" s="133"/>
      <c r="H3" s="133"/>
      <c r="I3" s="133"/>
      <c r="J3" s="133"/>
      <c r="K3" s="133"/>
      <c r="L3" s="133"/>
      <c r="M3" s="5"/>
      <c r="N3" s="5"/>
    </row>
    <row r="4" spans="1:18" ht="39.75" customHeight="1" x14ac:dyDescent="0.25">
      <c r="A4" s="134" t="s">
        <v>3</v>
      </c>
      <c r="B4" s="134" t="s">
        <v>4</v>
      </c>
      <c r="C4" s="134" t="s">
        <v>5</v>
      </c>
      <c r="D4" s="134" t="s">
        <v>6</v>
      </c>
      <c r="E4" s="134" t="s">
        <v>7</v>
      </c>
      <c r="F4" s="134" t="s">
        <v>8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8" ht="28.5" customHeight="1" x14ac:dyDescent="0.25">
      <c r="A5" s="134"/>
      <c r="B5" s="134"/>
      <c r="C5" s="134"/>
      <c r="D5" s="134"/>
      <c r="E5" s="134"/>
      <c r="F5" s="6" t="s">
        <v>9</v>
      </c>
      <c r="G5" s="6" t="s">
        <v>10</v>
      </c>
      <c r="H5" s="6">
        <v>2018</v>
      </c>
      <c r="I5" s="6">
        <v>2019</v>
      </c>
      <c r="J5" s="6">
        <v>2020</v>
      </c>
      <c r="K5" s="6">
        <v>2021</v>
      </c>
      <c r="L5" s="7">
        <v>2022</v>
      </c>
      <c r="M5" s="6">
        <v>2023</v>
      </c>
      <c r="N5" s="6">
        <v>2024</v>
      </c>
      <c r="O5" s="8">
        <v>2025</v>
      </c>
      <c r="P5" s="8">
        <v>2026</v>
      </c>
      <c r="Q5" s="8">
        <v>2027</v>
      </c>
    </row>
    <row r="6" spans="1:18" ht="16.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10">
        <v>12</v>
      </c>
      <c r="M6" s="9">
        <v>13</v>
      </c>
      <c r="N6" s="9">
        <v>14</v>
      </c>
      <c r="O6" s="11">
        <v>15</v>
      </c>
      <c r="P6" s="8">
        <v>16</v>
      </c>
      <c r="Q6" s="8">
        <v>17</v>
      </c>
    </row>
    <row r="7" spans="1:18" s="13" customFormat="1" ht="23.25" customHeight="1" x14ac:dyDescent="0.25">
      <c r="A7" s="119" t="s">
        <v>11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"/>
      <c r="P7" s="12"/>
      <c r="Q7" s="12"/>
    </row>
    <row r="8" spans="1:18" ht="54" customHeight="1" x14ac:dyDescent="0.25">
      <c r="A8" s="14">
        <v>1</v>
      </c>
      <c r="B8" s="120" t="s">
        <v>12</v>
      </c>
      <c r="C8" s="15" t="s">
        <v>13</v>
      </c>
      <c r="D8" s="16" t="s">
        <v>14</v>
      </c>
      <c r="E8" s="14" t="s">
        <v>15</v>
      </c>
      <c r="F8" s="17" t="s">
        <v>16</v>
      </c>
      <c r="G8" s="18">
        <f>G28+G29+G32</f>
        <v>63</v>
      </c>
      <c r="H8" s="18">
        <f>H28+H29+H32</f>
        <v>86</v>
      </c>
      <c r="I8" s="18">
        <f>I28+I29+I32</f>
        <v>118</v>
      </c>
      <c r="J8" s="18">
        <f>J28+J29+J32</f>
        <v>149</v>
      </c>
      <c r="K8" s="18">
        <f>K28+K29+K32</f>
        <v>178</v>
      </c>
      <c r="L8" s="18">
        <f t="shared" ref="L8:Q8" si="0">L30+L31+L32</f>
        <v>219</v>
      </c>
      <c r="M8" s="18">
        <f t="shared" si="0"/>
        <v>244</v>
      </c>
      <c r="N8" s="18">
        <f t="shared" si="0"/>
        <v>269</v>
      </c>
      <c r="O8" s="18">
        <f t="shared" si="0"/>
        <v>279</v>
      </c>
      <c r="P8" s="18">
        <f t="shared" si="0"/>
        <v>290</v>
      </c>
      <c r="Q8" s="18">
        <f t="shared" si="0"/>
        <v>303</v>
      </c>
    </row>
    <row r="9" spans="1:18" ht="60" x14ac:dyDescent="0.25">
      <c r="A9" s="14">
        <v>2</v>
      </c>
      <c r="B9" s="121"/>
      <c r="C9" s="19" t="s">
        <v>17</v>
      </c>
      <c r="D9" s="20" t="s">
        <v>18</v>
      </c>
      <c r="E9" s="14" t="s">
        <v>19</v>
      </c>
      <c r="F9" s="21" t="s">
        <v>16</v>
      </c>
      <c r="G9" s="21">
        <f>52/G8*100</f>
        <v>82.539682539682531</v>
      </c>
      <c r="H9" s="21">
        <f>52/H8*100</f>
        <v>60.465116279069761</v>
      </c>
      <c r="I9" s="21">
        <v>61</v>
      </c>
      <c r="J9" s="21" t="s">
        <v>20</v>
      </c>
      <c r="K9" s="21" t="s">
        <v>20</v>
      </c>
      <c r="L9" s="18" t="s">
        <v>20</v>
      </c>
      <c r="M9" s="21" t="s">
        <v>20</v>
      </c>
      <c r="N9" s="21" t="s">
        <v>20</v>
      </c>
      <c r="O9" s="8" t="s">
        <v>20</v>
      </c>
      <c r="P9" s="8" t="s">
        <v>20</v>
      </c>
      <c r="Q9" s="8" t="s">
        <v>20</v>
      </c>
    </row>
    <row r="10" spans="1:18" ht="78" customHeight="1" x14ac:dyDescent="0.25">
      <c r="A10" s="14">
        <v>3</v>
      </c>
      <c r="B10" s="122"/>
      <c r="C10" s="15" t="s">
        <v>21</v>
      </c>
      <c r="D10" s="20" t="s">
        <v>22</v>
      </c>
      <c r="E10" s="14" t="s">
        <v>19</v>
      </c>
      <c r="F10" s="21" t="s">
        <v>20</v>
      </c>
      <c r="G10" s="21" t="s">
        <v>20</v>
      </c>
      <c r="H10" s="21" t="s">
        <v>20</v>
      </c>
      <c r="I10" s="21" t="s">
        <v>20</v>
      </c>
      <c r="J10" s="21">
        <v>100</v>
      </c>
      <c r="K10" s="21">
        <v>100</v>
      </c>
      <c r="L10" s="18">
        <v>100</v>
      </c>
      <c r="M10" s="21">
        <v>100</v>
      </c>
      <c r="N10" s="21">
        <v>100</v>
      </c>
      <c r="O10" s="22">
        <v>100</v>
      </c>
      <c r="P10" s="22">
        <v>100</v>
      </c>
      <c r="Q10" s="8">
        <v>100</v>
      </c>
    </row>
    <row r="11" spans="1:18" s="13" customFormat="1" ht="22.5" customHeight="1" x14ac:dyDescent="0.25">
      <c r="A11" s="123" t="s">
        <v>23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2"/>
      <c r="Q11" s="12"/>
    </row>
    <row r="12" spans="1:18" s="25" customFormat="1" ht="30" x14ac:dyDescent="0.25">
      <c r="A12" s="23">
        <v>4</v>
      </c>
      <c r="B12" s="111" t="s">
        <v>24</v>
      </c>
      <c r="C12" s="15" t="s">
        <v>25</v>
      </c>
      <c r="D12" s="16" t="s">
        <v>26</v>
      </c>
      <c r="E12" s="23" t="s">
        <v>27</v>
      </c>
      <c r="F12" s="24">
        <f>(F16+F14)/(F15+F13)*100</f>
        <v>21.839080459770116</v>
      </c>
      <c r="G12" s="24">
        <f>G18/G17*100</f>
        <v>35.227272727272727</v>
      </c>
      <c r="H12" s="24">
        <f t="shared" ref="H12:L12" si="1">H18/H17*100</f>
        <v>39.772727272727273</v>
      </c>
      <c r="I12" s="24">
        <f t="shared" si="1"/>
        <v>53.260869565217398</v>
      </c>
      <c r="J12" s="24">
        <f t="shared" si="1"/>
        <v>65.591397849462368</v>
      </c>
      <c r="K12" s="24">
        <f>K18/K17*100</f>
        <v>66.315789473684205</v>
      </c>
      <c r="L12" s="24">
        <f t="shared" si="1"/>
        <v>73.958333333333343</v>
      </c>
      <c r="M12" s="24">
        <f>M18/M17*100</f>
        <v>75.510204081632651</v>
      </c>
      <c r="N12" s="24">
        <f>N18/N17*100</f>
        <v>76.785714285714292</v>
      </c>
      <c r="O12" s="24">
        <f t="shared" ref="O12" si="2">O18/O17*100</f>
        <v>79.130434782608688</v>
      </c>
      <c r="P12" s="24">
        <f>P18/P17*100</f>
        <v>80</v>
      </c>
      <c r="Q12" s="24">
        <f>Q18/Q17*100</f>
        <v>81.666666666666671</v>
      </c>
    </row>
    <row r="13" spans="1:18" s="25" customFormat="1" ht="15" hidden="1" x14ac:dyDescent="0.25">
      <c r="A13" s="23"/>
      <c r="B13" s="111"/>
      <c r="C13" s="15"/>
      <c r="D13" s="16" t="s">
        <v>28</v>
      </c>
      <c r="E13" s="23"/>
      <c r="F13" s="18">
        <v>60</v>
      </c>
      <c r="G13" s="18">
        <v>60</v>
      </c>
      <c r="H13" s="18">
        <v>60</v>
      </c>
      <c r="I13" s="18">
        <v>60</v>
      </c>
      <c r="J13" s="18">
        <v>60</v>
      </c>
      <c r="K13" s="18">
        <v>60</v>
      </c>
      <c r="L13" s="18">
        <v>60</v>
      </c>
      <c r="M13" s="18">
        <v>60</v>
      </c>
      <c r="N13" s="18">
        <v>71</v>
      </c>
      <c r="O13" s="26"/>
      <c r="P13" s="26"/>
      <c r="Q13" s="26"/>
    </row>
    <row r="14" spans="1:18" s="25" customFormat="1" ht="15" hidden="1" x14ac:dyDescent="0.25">
      <c r="A14" s="23"/>
      <c r="B14" s="111"/>
      <c r="C14" s="15"/>
      <c r="D14" s="16" t="s">
        <v>29</v>
      </c>
      <c r="E14" s="23"/>
      <c r="F14" s="18">
        <f>19-4</f>
        <v>15</v>
      </c>
      <c r="G14" s="24">
        <v>28</v>
      </c>
      <c r="H14" s="24">
        <f>28+5</f>
        <v>33</v>
      </c>
      <c r="I14" s="24">
        <f>33+6</f>
        <v>39</v>
      </c>
      <c r="J14" s="27">
        <f>39+6</f>
        <v>45</v>
      </c>
      <c r="K14" s="24">
        <f>45+6</f>
        <v>51</v>
      </c>
      <c r="L14" s="24">
        <f>51+9</f>
        <v>60</v>
      </c>
      <c r="M14" s="24"/>
      <c r="N14" s="24">
        <v>44</v>
      </c>
      <c r="O14" s="26"/>
      <c r="P14" s="26"/>
      <c r="Q14" s="26"/>
    </row>
    <row r="15" spans="1:18" s="25" customFormat="1" ht="15" hidden="1" x14ac:dyDescent="0.25">
      <c r="A15" s="23"/>
      <c r="B15" s="111"/>
      <c r="C15" s="15"/>
      <c r="D15" s="16" t="s">
        <v>30</v>
      </c>
      <c r="E15" s="23"/>
      <c r="F15" s="18">
        <v>27</v>
      </c>
      <c r="G15" s="24">
        <v>27</v>
      </c>
      <c r="H15" s="24">
        <v>27</v>
      </c>
      <c r="I15" s="24">
        <v>28</v>
      </c>
      <c r="J15" s="27">
        <v>28</v>
      </c>
      <c r="K15" s="24">
        <v>28</v>
      </c>
      <c r="L15" s="24">
        <v>28</v>
      </c>
      <c r="M15" s="24">
        <v>28</v>
      </c>
      <c r="N15" s="24">
        <v>41</v>
      </c>
      <c r="O15" s="26"/>
      <c r="P15" s="26"/>
      <c r="Q15" s="26"/>
    </row>
    <row r="16" spans="1:18" s="25" customFormat="1" ht="15" hidden="1" x14ac:dyDescent="0.25">
      <c r="A16" s="23"/>
      <c r="B16" s="111"/>
      <c r="C16" s="15"/>
      <c r="D16" s="16" t="s">
        <v>31</v>
      </c>
      <c r="E16" s="23"/>
      <c r="F16" s="18">
        <v>4</v>
      </c>
      <c r="G16" s="24">
        <v>10</v>
      </c>
      <c r="H16" s="24">
        <v>12</v>
      </c>
      <c r="I16" s="24">
        <f>12+5</f>
        <v>17</v>
      </c>
      <c r="J16" s="27">
        <v>20</v>
      </c>
      <c r="K16" s="24">
        <v>22</v>
      </c>
      <c r="L16" s="24">
        <v>27</v>
      </c>
      <c r="M16" s="24"/>
      <c r="N16" s="24">
        <v>38</v>
      </c>
      <c r="O16" s="26"/>
      <c r="P16" s="26"/>
      <c r="Q16" s="26"/>
      <c r="R16" s="28">
        <f>N18-N14-N16</f>
        <v>4</v>
      </c>
    </row>
    <row r="17" spans="1:17" s="25" customFormat="1" ht="15" hidden="1" x14ac:dyDescent="0.25">
      <c r="A17" s="23"/>
      <c r="B17" s="111"/>
      <c r="C17" s="15"/>
      <c r="D17" s="16" t="s">
        <v>32</v>
      </c>
      <c r="E17" s="23"/>
      <c r="F17" s="18">
        <v>87</v>
      </c>
      <c r="G17" s="24">
        <v>88</v>
      </c>
      <c r="H17" s="24">
        <v>88</v>
      </c>
      <c r="I17" s="24">
        <f t="shared" ref="I17:M17" si="3">H17+I32-H32</f>
        <v>92</v>
      </c>
      <c r="J17" s="24">
        <f t="shared" si="3"/>
        <v>93</v>
      </c>
      <c r="K17" s="24">
        <f t="shared" si="3"/>
        <v>95</v>
      </c>
      <c r="L17" s="24">
        <f t="shared" si="3"/>
        <v>96</v>
      </c>
      <c r="M17" s="24">
        <f t="shared" si="3"/>
        <v>98</v>
      </c>
      <c r="N17" s="24">
        <f>N13+N15</f>
        <v>112</v>
      </c>
      <c r="O17" s="26">
        <v>115</v>
      </c>
      <c r="P17" s="26">
        <v>120</v>
      </c>
      <c r="Q17" s="26">
        <v>120</v>
      </c>
    </row>
    <row r="18" spans="1:17" s="25" customFormat="1" ht="15" hidden="1" x14ac:dyDescent="0.25">
      <c r="A18" s="23"/>
      <c r="B18" s="111"/>
      <c r="C18" s="15"/>
      <c r="D18" s="16" t="s">
        <v>33</v>
      </c>
      <c r="E18" s="23"/>
      <c r="F18" s="18">
        <v>20</v>
      </c>
      <c r="G18" s="24">
        <v>31</v>
      </c>
      <c r="H18" s="24">
        <v>35</v>
      </c>
      <c r="I18" s="24">
        <f>35+14</f>
        <v>49</v>
      </c>
      <c r="J18" s="24">
        <f>49+12</f>
        <v>61</v>
      </c>
      <c r="K18" s="24">
        <f>61+2</f>
        <v>63</v>
      </c>
      <c r="L18" s="24">
        <f>63+8</f>
        <v>71</v>
      </c>
      <c r="M18" s="24">
        <v>74</v>
      </c>
      <c r="N18" s="24">
        <v>86</v>
      </c>
      <c r="O18" s="26">
        <v>91</v>
      </c>
      <c r="P18" s="26">
        <v>96</v>
      </c>
      <c r="Q18" s="26">
        <v>98</v>
      </c>
    </row>
    <row r="19" spans="1:17" s="25" customFormat="1" ht="30" x14ac:dyDescent="0.25">
      <c r="A19" s="23">
        <v>5</v>
      </c>
      <c r="B19" s="111"/>
      <c r="C19" s="15" t="s">
        <v>25</v>
      </c>
      <c r="D19" s="16" t="s">
        <v>34</v>
      </c>
      <c r="E19" s="23" t="s">
        <v>27</v>
      </c>
      <c r="F19" s="29">
        <f>(225-52+6+29+60)/2900*100</f>
        <v>9.2413793103448274</v>
      </c>
      <c r="G19" s="29">
        <f>(225+6+29+60)/2900*100</f>
        <v>11.03448275862069</v>
      </c>
      <c r="H19" s="29">
        <f>(225+6+29+60+20)/2900*100</f>
        <v>11.724137931034482</v>
      </c>
      <c r="I19" s="29">
        <f>(225+6+29+60+40)/2900*100</f>
        <v>12.413793103448276</v>
      </c>
      <c r="J19" s="29">
        <f>(225+6+29+60+60)/2900*100</f>
        <v>13.103448275862069</v>
      </c>
      <c r="K19" s="29">
        <f>(225+6+29+60+80)/2900*100</f>
        <v>13.793103448275861</v>
      </c>
      <c r="L19" s="24">
        <f>(225+6+29+60+120)/2900*100</f>
        <v>15.172413793103448</v>
      </c>
      <c r="M19" s="29">
        <f>(225+6+29+60+120+20)/2900*100</f>
        <v>15.862068965517242</v>
      </c>
      <c r="N19" s="29">
        <f>(225+6+29+60+120+20+20)/2900*100</f>
        <v>16.551724137931036</v>
      </c>
      <c r="O19" s="29">
        <f>(225+6+29+60+120+20+20+5)/2900*100</f>
        <v>16.724137931034484</v>
      </c>
      <c r="P19" s="29">
        <f>(225+6+29+60+120+20+20+5+5)/2900*100</f>
        <v>16.896551724137932</v>
      </c>
      <c r="Q19" s="29">
        <f>(225+6+29+60+120+20+20+5+5+9)/2900*100</f>
        <v>17.206896551724139</v>
      </c>
    </row>
    <row r="20" spans="1:17" s="31" customFormat="1" ht="21" customHeight="1" x14ac:dyDescent="0.2">
      <c r="A20" s="126" t="s">
        <v>35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30"/>
      <c r="P20" s="30"/>
    </row>
    <row r="21" spans="1:17" s="34" customFormat="1" ht="51" x14ac:dyDescent="0.25">
      <c r="A21" s="23">
        <v>6</v>
      </c>
      <c r="B21" s="32" t="s">
        <v>36</v>
      </c>
      <c r="C21" s="15" t="s">
        <v>37</v>
      </c>
      <c r="D21" s="32" t="s">
        <v>38</v>
      </c>
      <c r="E21" s="23" t="s">
        <v>19</v>
      </c>
      <c r="F21" s="33">
        <v>95.03</v>
      </c>
      <c r="G21" s="33">
        <v>100</v>
      </c>
      <c r="H21" s="33">
        <v>100</v>
      </c>
      <c r="I21" s="33">
        <v>100</v>
      </c>
      <c r="J21" s="33">
        <v>100</v>
      </c>
      <c r="K21" s="33">
        <v>100</v>
      </c>
      <c r="L21" s="33">
        <v>100</v>
      </c>
      <c r="M21" s="33">
        <v>100</v>
      </c>
      <c r="N21" s="33">
        <v>100</v>
      </c>
      <c r="O21" s="33">
        <v>100</v>
      </c>
      <c r="P21" s="33">
        <v>100</v>
      </c>
      <c r="Q21" s="33">
        <v>100</v>
      </c>
    </row>
    <row r="22" spans="1:17" s="25" customFormat="1" ht="54" customHeight="1" x14ac:dyDescent="0.25">
      <c r="A22" s="35">
        <v>7</v>
      </c>
      <c r="B22" s="36" t="s">
        <v>39</v>
      </c>
      <c r="C22" s="15" t="s">
        <v>40</v>
      </c>
      <c r="D22" s="32" t="s">
        <v>41</v>
      </c>
      <c r="E22" s="35" t="s">
        <v>15</v>
      </c>
      <c r="F22" s="23">
        <v>265</v>
      </c>
      <c r="G22" s="23">
        <v>241</v>
      </c>
      <c r="H22" s="23">
        <v>241</v>
      </c>
      <c r="I22" s="23">
        <v>241</v>
      </c>
      <c r="J22" s="23">
        <v>241</v>
      </c>
      <c r="K22" s="23">
        <v>241</v>
      </c>
      <c r="L22" s="23">
        <v>241</v>
      </c>
      <c r="M22" s="23">
        <v>241</v>
      </c>
      <c r="N22" s="23">
        <v>151</v>
      </c>
      <c r="O22" s="23">
        <v>151</v>
      </c>
      <c r="P22" s="23">
        <v>151</v>
      </c>
      <c r="Q22" s="23">
        <v>151</v>
      </c>
    </row>
    <row r="23" spans="1:17" s="25" customFormat="1" ht="32.25" customHeight="1" x14ac:dyDescent="0.25">
      <c r="A23" s="35">
        <v>8</v>
      </c>
      <c r="B23" s="36" t="s">
        <v>42</v>
      </c>
      <c r="C23" s="23" t="s">
        <v>43</v>
      </c>
      <c r="D23" s="32" t="s">
        <v>44</v>
      </c>
      <c r="E23" s="23" t="s">
        <v>45</v>
      </c>
      <c r="F23" s="23">
        <v>382.93</v>
      </c>
      <c r="G23" s="23">
        <v>268.73</v>
      </c>
      <c r="H23" s="23">
        <v>268.73</v>
      </c>
      <c r="I23" s="23">
        <v>268.73</v>
      </c>
      <c r="J23" s="23">
        <v>268.73</v>
      </c>
      <c r="K23" s="23">
        <v>268.73</v>
      </c>
      <c r="L23" s="23">
        <v>268.73</v>
      </c>
      <c r="M23" s="23">
        <v>268.73</v>
      </c>
      <c r="N23" s="23">
        <v>268.73</v>
      </c>
      <c r="O23" s="26">
        <v>268.73</v>
      </c>
      <c r="P23" s="26">
        <v>268.73</v>
      </c>
      <c r="Q23" s="26">
        <v>268.73</v>
      </c>
    </row>
    <row r="24" spans="1:17" s="25" customFormat="1" ht="32.25" customHeight="1" x14ac:dyDescent="0.25">
      <c r="A24" s="35">
        <v>9</v>
      </c>
      <c r="B24" s="36" t="s">
        <v>90</v>
      </c>
      <c r="C24" s="23" t="s">
        <v>43</v>
      </c>
      <c r="D24" s="32" t="s">
        <v>204</v>
      </c>
      <c r="E24" s="23" t="s">
        <v>91</v>
      </c>
      <c r="F24" s="23" t="s">
        <v>20</v>
      </c>
      <c r="G24" s="23" t="s">
        <v>20</v>
      </c>
      <c r="H24" s="23" t="s">
        <v>20</v>
      </c>
      <c r="I24" s="23" t="s">
        <v>20</v>
      </c>
      <c r="J24" s="23" t="s">
        <v>20</v>
      </c>
      <c r="K24" s="23" t="s">
        <v>20</v>
      </c>
      <c r="L24" s="23" t="s">
        <v>20</v>
      </c>
      <c r="M24" s="23" t="s">
        <v>20</v>
      </c>
      <c r="N24" s="23" t="s">
        <v>20</v>
      </c>
      <c r="O24" s="26" t="s">
        <v>205</v>
      </c>
      <c r="P24" s="26" t="s">
        <v>205</v>
      </c>
      <c r="Q24" s="26" t="s">
        <v>205</v>
      </c>
    </row>
    <row r="25" spans="1:17" s="40" customFormat="1" ht="54" customHeight="1" x14ac:dyDescent="0.25">
      <c r="A25" s="35">
        <v>10</v>
      </c>
      <c r="B25" s="128" t="s">
        <v>46</v>
      </c>
      <c r="C25" s="112" t="s">
        <v>40</v>
      </c>
      <c r="D25" s="32" t="s">
        <v>47</v>
      </c>
      <c r="E25" s="35" t="s">
        <v>48</v>
      </c>
      <c r="F25" s="37">
        <v>100</v>
      </c>
      <c r="G25" s="37">
        <v>100</v>
      </c>
      <c r="H25" s="37">
        <v>100</v>
      </c>
      <c r="I25" s="37">
        <v>100</v>
      </c>
      <c r="J25" s="38" t="s">
        <v>20</v>
      </c>
      <c r="K25" s="38" t="s">
        <v>20</v>
      </c>
      <c r="L25" s="39" t="s">
        <v>20</v>
      </c>
      <c r="M25" s="38" t="s">
        <v>20</v>
      </c>
      <c r="N25" s="38" t="s">
        <v>20</v>
      </c>
      <c r="O25" s="38" t="s">
        <v>49</v>
      </c>
      <c r="P25" s="38" t="s">
        <v>49</v>
      </c>
      <c r="Q25" s="38" t="s">
        <v>49</v>
      </c>
    </row>
    <row r="26" spans="1:17" s="40" customFormat="1" ht="54" customHeight="1" x14ac:dyDescent="0.25">
      <c r="A26" s="35">
        <v>11</v>
      </c>
      <c r="B26" s="129"/>
      <c r="C26" s="113"/>
      <c r="D26" s="32" t="s">
        <v>50</v>
      </c>
      <c r="E26" s="35" t="s">
        <v>19</v>
      </c>
      <c r="F26" s="37" t="s">
        <v>20</v>
      </c>
      <c r="G26" s="37" t="s">
        <v>20</v>
      </c>
      <c r="H26" s="37" t="s">
        <v>20</v>
      </c>
      <c r="I26" s="37" t="s">
        <v>20</v>
      </c>
      <c r="J26" s="37">
        <v>100</v>
      </c>
      <c r="K26" s="37">
        <v>100</v>
      </c>
      <c r="L26" s="37">
        <v>100</v>
      </c>
      <c r="M26" s="37">
        <v>100</v>
      </c>
      <c r="N26" s="37">
        <v>100</v>
      </c>
      <c r="O26" s="37">
        <v>100</v>
      </c>
      <c r="P26" s="37">
        <v>100</v>
      </c>
      <c r="Q26" s="37">
        <v>101</v>
      </c>
    </row>
    <row r="27" spans="1:17" s="43" customFormat="1" ht="20.25" customHeight="1" x14ac:dyDescent="0.2">
      <c r="A27" s="114" t="s">
        <v>51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41"/>
      <c r="N27" s="41"/>
      <c r="O27" s="42"/>
      <c r="P27" s="42"/>
    </row>
    <row r="28" spans="1:17" s="40" customFormat="1" ht="36.75" customHeight="1" x14ac:dyDescent="0.25">
      <c r="A28" s="35">
        <v>12</v>
      </c>
      <c r="B28" s="117" t="s">
        <v>52</v>
      </c>
      <c r="C28" s="118" t="s">
        <v>43</v>
      </c>
      <c r="D28" s="32" t="s">
        <v>53</v>
      </c>
      <c r="E28" s="35" t="s">
        <v>15</v>
      </c>
      <c r="F28" s="37" t="s">
        <v>16</v>
      </c>
      <c r="G28" s="44">
        <v>52</v>
      </c>
      <c r="H28" s="44">
        <v>71</v>
      </c>
      <c r="I28" s="44">
        <f>H28+20+1</f>
        <v>92</v>
      </c>
      <c r="J28" s="44">
        <f>I28+20</f>
        <v>112</v>
      </c>
      <c r="K28" s="44">
        <f>J28+20</f>
        <v>132</v>
      </c>
      <c r="L28" s="44" t="s">
        <v>20</v>
      </c>
      <c r="M28" s="44" t="s">
        <v>20</v>
      </c>
      <c r="N28" s="44" t="s">
        <v>20</v>
      </c>
      <c r="O28" s="44" t="s">
        <v>20</v>
      </c>
      <c r="P28" s="44" t="s">
        <v>20</v>
      </c>
      <c r="Q28" s="44" t="s">
        <v>20</v>
      </c>
    </row>
    <row r="29" spans="1:17" s="40" customFormat="1" ht="33.75" customHeight="1" x14ac:dyDescent="0.25">
      <c r="A29" s="35">
        <v>13</v>
      </c>
      <c r="B29" s="117"/>
      <c r="C29" s="118"/>
      <c r="D29" s="32" t="s">
        <v>54</v>
      </c>
      <c r="E29" s="35" t="s">
        <v>15</v>
      </c>
      <c r="F29" s="37" t="s">
        <v>16</v>
      </c>
      <c r="G29" s="44">
        <v>10</v>
      </c>
      <c r="H29" s="44">
        <f>G29+4</f>
        <v>14</v>
      </c>
      <c r="I29" s="44">
        <f>14+7</f>
        <v>21</v>
      </c>
      <c r="J29" s="44">
        <f>I29+7+3</f>
        <v>31</v>
      </c>
      <c r="K29" s="44">
        <f>J29+7</f>
        <v>38</v>
      </c>
      <c r="L29" s="44" t="s">
        <v>20</v>
      </c>
      <c r="M29" s="44" t="s">
        <v>20</v>
      </c>
      <c r="N29" s="44" t="s">
        <v>20</v>
      </c>
      <c r="O29" s="44" t="s">
        <v>20</v>
      </c>
      <c r="P29" s="44" t="s">
        <v>20</v>
      </c>
      <c r="Q29" s="44" t="s">
        <v>20</v>
      </c>
    </row>
    <row r="30" spans="1:17" s="40" customFormat="1" ht="33.75" customHeight="1" x14ac:dyDescent="0.25">
      <c r="A30" s="35">
        <v>14</v>
      </c>
      <c r="B30" s="117" t="s">
        <v>55</v>
      </c>
      <c r="C30" s="118" t="s">
        <v>43</v>
      </c>
      <c r="D30" s="32" t="s">
        <v>53</v>
      </c>
      <c r="E30" s="35" t="s">
        <v>15</v>
      </c>
      <c r="F30" s="37" t="s">
        <v>16</v>
      </c>
      <c r="G30" s="44" t="s">
        <v>20</v>
      </c>
      <c r="H30" s="44" t="s">
        <v>20</v>
      </c>
      <c r="I30" s="44" t="s">
        <v>20</v>
      </c>
      <c r="J30" s="44" t="s">
        <v>20</v>
      </c>
      <c r="K30" s="44" t="s">
        <v>20</v>
      </c>
      <c r="L30" s="44">
        <v>162</v>
      </c>
      <c r="M30" s="44">
        <f>L30+10+2</f>
        <v>174</v>
      </c>
      <c r="N30" s="44">
        <f t="shared" ref="N30" si="4">M30+10+2</f>
        <v>186</v>
      </c>
      <c r="O30" s="44">
        <v>191</v>
      </c>
      <c r="P30" s="38">
        <v>196</v>
      </c>
      <c r="Q30" s="38">
        <v>205</v>
      </c>
    </row>
    <row r="31" spans="1:17" s="40" customFormat="1" ht="33.75" customHeight="1" x14ac:dyDescent="0.25">
      <c r="A31" s="35">
        <v>15</v>
      </c>
      <c r="B31" s="117"/>
      <c r="C31" s="118"/>
      <c r="D31" s="32" t="s">
        <v>54</v>
      </c>
      <c r="E31" s="35" t="s">
        <v>15</v>
      </c>
      <c r="F31" s="37" t="s">
        <v>16</v>
      </c>
      <c r="G31" s="44" t="s">
        <v>20</v>
      </c>
      <c r="H31" s="44" t="s">
        <v>20</v>
      </c>
      <c r="I31" s="44" t="s">
        <v>20</v>
      </c>
      <c r="J31" s="44" t="s">
        <v>20</v>
      </c>
      <c r="K31" s="44" t="s">
        <v>20</v>
      </c>
      <c r="L31" s="44">
        <v>48</v>
      </c>
      <c r="M31" s="44">
        <v>59</v>
      </c>
      <c r="N31" s="44">
        <v>69</v>
      </c>
      <c r="O31" s="38">
        <v>71</v>
      </c>
      <c r="P31" s="38">
        <v>74</v>
      </c>
      <c r="Q31" s="38">
        <v>76</v>
      </c>
    </row>
    <row r="32" spans="1:17" s="40" customFormat="1" ht="73.5" customHeight="1" x14ac:dyDescent="0.25">
      <c r="A32" s="35">
        <v>16</v>
      </c>
      <c r="B32" s="36" t="s">
        <v>56</v>
      </c>
      <c r="C32" s="23" t="s">
        <v>21</v>
      </c>
      <c r="D32" s="32" t="s">
        <v>57</v>
      </c>
      <c r="E32" s="35" t="s">
        <v>15</v>
      </c>
      <c r="F32" s="21" t="s">
        <v>16</v>
      </c>
      <c r="G32" s="44">
        <v>1</v>
      </c>
      <c r="H32" s="44">
        <v>1</v>
      </c>
      <c r="I32" s="44">
        <v>5</v>
      </c>
      <c r="J32" s="44">
        <v>6</v>
      </c>
      <c r="K32" s="44">
        <v>8</v>
      </c>
      <c r="L32" s="44">
        <v>9</v>
      </c>
      <c r="M32" s="44">
        <v>11</v>
      </c>
      <c r="N32" s="44">
        <v>14</v>
      </c>
      <c r="O32" s="38">
        <v>17</v>
      </c>
      <c r="P32" s="38">
        <v>20</v>
      </c>
      <c r="Q32" s="38">
        <v>22</v>
      </c>
    </row>
    <row r="33" spans="1:18" s="25" customFormat="1" ht="43.5" customHeight="1" x14ac:dyDescent="0.25">
      <c r="A33" s="35">
        <v>17</v>
      </c>
      <c r="B33" s="36" t="s">
        <v>58</v>
      </c>
      <c r="C33" s="15" t="s">
        <v>59</v>
      </c>
      <c r="D33" s="32" t="s">
        <v>60</v>
      </c>
      <c r="E33" s="35" t="s">
        <v>19</v>
      </c>
      <c r="F33" s="35">
        <v>95</v>
      </c>
      <c r="G33" s="35">
        <v>95</v>
      </c>
      <c r="H33" s="35">
        <v>95</v>
      </c>
      <c r="I33" s="35">
        <v>95</v>
      </c>
      <c r="J33" s="35">
        <v>95</v>
      </c>
      <c r="K33" s="35">
        <v>95</v>
      </c>
      <c r="L33" s="23">
        <v>95</v>
      </c>
      <c r="M33" s="35">
        <v>95</v>
      </c>
      <c r="N33" s="35">
        <v>95</v>
      </c>
      <c r="O33" s="26">
        <v>95</v>
      </c>
      <c r="P33" s="26">
        <v>95</v>
      </c>
      <c r="Q33" s="26">
        <v>95</v>
      </c>
    </row>
    <row r="34" spans="1:18" s="25" customFormat="1" ht="57.75" customHeight="1" x14ac:dyDescent="0.25">
      <c r="A34" s="23">
        <v>18</v>
      </c>
      <c r="B34" s="32" t="s">
        <v>61</v>
      </c>
      <c r="C34" s="45" t="s">
        <v>62</v>
      </c>
      <c r="D34" s="32" t="s">
        <v>63</v>
      </c>
      <c r="E34" s="23" t="s">
        <v>19</v>
      </c>
      <c r="F34" s="23" t="s">
        <v>20</v>
      </c>
      <c r="G34" s="23" t="s">
        <v>20</v>
      </c>
      <c r="H34" s="23" t="s">
        <v>20</v>
      </c>
      <c r="I34" s="23" t="s">
        <v>20</v>
      </c>
      <c r="J34" s="23" t="s">
        <v>20</v>
      </c>
      <c r="K34" s="23" t="s">
        <v>20</v>
      </c>
      <c r="L34" s="23" t="s">
        <v>20</v>
      </c>
      <c r="M34" s="23">
        <v>82.83</v>
      </c>
      <c r="N34" s="23">
        <v>86.18</v>
      </c>
      <c r="O34" s="39">
        <v>91.08</v>
      </c>
      <c r="P34" s="46">
        <v>92</v>
      </c>
      <c r="Q34" s="46">
        <v>92</v>
      </c>
    </row>
    <row r="35" spans="1:18" s="25" customFormat="1" ht="57.75" customHeight="1" x14ac:dyDescent="0.25">
      <c r="A35" s="23">
        <v>19</v>
      </c>
      <c r="B35" s="45" t="s">
        <v>87</v>
      </c>
      <c r="C35" s="32" t="s">
        <v>88</v>
      </c>
      <c r="D35" s="58" t="s">
        <v>89</v>
      </c>
      <c r="E35" s="23" t="s">
        <v>15</v>
      </c>
      <c r="F35" s="23" t="s">
        <v>20</v>
      </c>
      <c r="G35" s="23" t="s">
        <v>20</v>
      </c>
      <c r="H35" s="23" t="s">
        <v>20</v>
      </c>
      <c r="I35" s="23" t="s">
        <v>20</v>
      </c>
      <c r="J35" s="23" t="s">
        <v>20</v>
      </c>
      <c r="K35" s="23" t="s">
        <v>20</v>
      </c>
      <c r="L35" s="23" t="s">
        <v>20</v>
      </c>
      <c r="M35" s="23" t="s">
        <v>20</v>
      </c>
      <c r="N35" s="23">
        <v>1</v>
      </c>
      <c r="O35" s="23">
        <v>1</v>
      </c>
      <c r="P35" s="23">
        <v>1</v>
      </c>
      <c r="Q35" s="23">
        <v>1</v>
      </c>
    </row>
    <row r="36" spans="1:18" s="13" customFormat="1" ht="22.5" customHeight="1" x14ac:dyDescent="0.25">
      <c r="A36" s="119" t="s">
        <v>64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2"/>
      <c r="P36" s="12"/>
      <c r="Q36" s="12"/>
    </row>
    <row r="37" spans="1:18" s="25" customFormat="1" ht="55.5" customHeight="1" x14ac:dyDescent="0.25">
      <c r="A37" s="23">
        <v>20</v>
      </c>
      <c r="B37" s="111" t="s">
        <v>65</v>
      </c>
      <c r="C37" s="112" t="s">
        <v>43</v>
      </c>
      <c r="D37" s="47" t="s">
        <v>66</v>
      </c>
      <c r="E37" s="23" t="s">
        <v>67</v>
      </c>
      <c r="F37" s="23" t="s">
        <v>16</v>
      </c>
      <c r="G37" s="23" t="s">
        <v>68</v>
      </c>
      <c r="H37" s="23" t="s">
        <v>68</v>
      </c>
      <c r="I37" s="23" t="s">
        <v>68</v>
      </c>
      <c r="J37" s="23" t="s">
        <v>68</v>
      </c>
      <c r="K37" s="23" t="s">
        <v>68</v>
      </c>
      <c r="L37" s="23" t="s">
        <v>68</v>
      </c>
      <c r="M37" s="23" t="s">
        <v>68</v>
      </c>
      <c r="N37" s="23" t="s">
        <v>68</v>
      </c>
      <c r="O37" s="23" t="s">
        <v>68</v>
      </c>
      <c r="P37" s="26" t="s">
        <v>68</v>
      </c>
      <c r="Q37" s="26" t="s">
        <v>68</v>
      </c>
    </row>
    <row r="38" spans="1:18" s="25" customFormat="1" ht="43.5" customHeight="1" x14ac:dyDescent="0.25">
      <c r="A38" s="23">
        <v>21</v>
      </c>
      <c r="B38" s="111"/>
      <c r="C38" s="113"/>
      <c r="D38" s="32" t="s">
        <v>69</v>
      </c>
      <c r="E38" s="23" t="s">
        <v>15</v>
      </c>
      <c r="F38" s="23" t="s">
        <v>16</v>
      </c>
      <c r="G38" s="44">
        <f>G29+G32</f>
        <v>11</v>
      </c>
      <c r="H38" s="44">
        <f>H29+H32</f>
        <v>15</v>
      </c>
      <c r="I38" s="44">
        <f>I29+I32</f>
        <v>26</v>
      </c>
      <c r="J38" s="44">
        <f>J29+J32</f>
        <v>37</v>
      </c>
      <c r="K38" s="44">
        <f>K29+K32</f>
        <v>46</v>
      </c>
      <c r="L38" s="44">
        <f t="shared" ref="L38:Q38" si="5">L31+L32</f>
        <v>57</v>
      </c>
      <c r="M38" s="44">
        <f t="shared" si="5"/>
        <v>70</v>
      </c>
      <c r="N38" s="44">
        <f t="shared" si="5"/>
        <v>83</v>
      </c>
      <c r="O38" s="44">
        <f t="shared" si="5"/>
        <v>88</v>
      </c>
      <c r="P38" s="44">
        <f t="shared" si="5"/>
        <v>94</v>
      </c>
      <c r="Q38" s="44">
        <f t="shared" si="5"/>
        <v>98</v>
      </c>
    </row>
    <row r="39" spans="1:18" s="34" customFormat="1" ht="12.75" customHeight="1" x14ac:dyDescent="0.25">
      <c r="A39" s="114" t="s">
        <v>70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39"/>
      <c r="P39" s="39"/>
      <c r="Q39" s="39"/>
    </row>
    <row r="40" spans="1:18" s="34" customFormat="1" ht="87" customHeight="1" x14ac:dyDescent="0.25">
      <c r="A40" s="48">
        <v>22</v>
      </c>
      <c r="B40" s="49" t="s">
        <v>71</v>
      </c>
      <c r="C40" s="50" t="s">
        <v>72</v>
      </c>
      <c r="D40" s="49" t="s">
        <v>73</v>
      </c>
      <c r="E40" s="48" t="s">
        <v>15</v>
      </c>
      <c r="F40" s="48" t="s">
        <v>16</v>
      </c>
      <c r="G40" s="51">
        <v>71</v>
      </c>
      <c r="H40" s="51">
        <v>71</v>
      </c>
      <c r="I40" s="51">
        <v>71</v>
      </c>
      <c r="J40" s="51">
        <v>71</v>
      </c>
      <c r="K40" s="51">
        <v>71</v>
      </c>
      <c r="L40" s="51">
        <v>71</v>
      </c>
      <c r="M40" s="39">
        <v>71</v>
      </c>
      <c r="N40" s="39">
        <v>71</v>
      </c>
      <c r="O40" s="39">
        <v>71</v>
      </c>
      <c r="P40" s="39">
        <v>71</v>
      </c>
      <c r="Q40" s="39">
        <v>72</v>
      </c>
    </row>
    <row r="41" spans="1:18" s="34" customFormat="1" ht="72.75" customHeight="1" x14ac:dyDescent="0.25">
      <c r="A41" s="23">
        <v>23</v>
      </c>
      <c r="B41" s="32" t="s">
        <v>74</v>
      </c>
      <c r="C41" s="15" t="s">
        <v>75</v>
      </c>
      <c r="D41" s="32" t="s">
        <v>76</v>
      </c>
      <c r="E41" s="23" t="s">
        <v>15</v>
      </c>
      <c r="F41" s="23" t="s">
        <v>16</v>
      </c>
      <c r="G41" s="44">
        <v>52</v>
      </c>
      <c r="H41" s="44">
        <v>72</v>
      </c>
      <c r="I41" s="44">
        <f>H41+20</f>
        <v>92</v>
      </c>
      <c r="J41" s="44">
        <f>J28+J32</f>
        <v>118</v>
      </c>
      <c r="K41" s="44">
        <f>K28+K32</f>
        <v>140</v>
      </c>
      <c r="L41" s="44">
        <f>L30+L32</f>
        <v>171</v>
      </c>
      <c r="M41" s="44">
        <f t="shared" ref="M41:O41" si="6">M30+M32</f>
        <v>185</v>
      </c>
      <c r="N41" s="44">
        <f t="shared" si="6"/>
        <v>200</v>
      </c>
      <c r="O41" s="44">
        <f t="shared" si="6"/>
        <v>208</v>
      </c>
      <c r="P41" s="44">
        <f>P30+P32</f>
        <v>216</v>
      </c>
      <c r="Q41" s="44">
        <f>Q30+Q32</f>
        <v>227</v>
      </c>
    </row>
    <row r="42" spans="1:18" s="34" customFormat="1" ht="12.75" customHeight="1" x14ac:dyDescent="0.25">
      <c r="A42" s="115" t="s">
        <v>77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39"/>
      <c r="P42" s="39"/>
      <c r="Q42" s="39"/>
    </row>
    <row r="43" spans="1:18" s="34" customFormat="1" ht="78.75" customHeight="1" x14ac:dyDescent="0.25">
      <c r="A43" s="23">
        <v>24</v>
      </c>
      <c r="B43" s="32" t="s">
        <v>78</v>
      </c>
      <c r="C43" s="15" t="s">
        <v>40</v>
      </c>
      <c r="D43" s="32" t="s">
        <v>79</v>
      </c>
      <c r="E43" s="23" t="s">
        <v>15</v>
      </c>
      <c r="F43" s="23" t="s">
        <v>16</v>
      </c>
      <c r="G43" s="23">
        <v>11</v>
      </c>
      <c r="H43" s="23">
        <v>11</v>
      </c>
      <c r="I43" s="23">
        <v>11</v>
      </c>
      <c r="J43" s="23">
        <v>11</v>
      </c>
      <c r="K43" s="23">
        <v>11</v>
      </c>
      <c r="L43" s="23">
        <v>11</v>
      </c>
      <c r="M43" s="23">
        <v>11</v>
      </c>
      <c r="N43" s="23">
        <v>11</v>
      </c>
      <c r="O43" s="39">
        <v>11</v>
      </c>
      <c r="P43" s="39">
        <v>11</v>
      </c>
      <c r="Q43" s="39">
        <v>11</v>
      </c>
    </row>
    <row r="44" spans="1:18" s="34" customFormat="1" ht="77.25" customHeight="1" x14ac:dyDescent="0.25">
      <c r="A44" s="23">
        <v>25</v>
      </c>
      <c r="B44" s="112" t="s">
        <v>80</v>
      </c>
      <c r="C44" s="23" t="s">
        <v>40</v>
      </c>
      <c r="D44" s="32" t="s">
        <v>81</v>
      </c>
      <c r="E44" s="23" t="s">
        <v>15</v>
      </c>
      <c r="F44" s="35">
        <v>19</v>
      </c>
      <c r="G44" s="35">
        <v>160</v>
      </c>
      <c r="H44" s="35">
        <v>160</v>
      </c>
      <c r="I44" s="35">
        <v>160</v>
      </c>
      <c r="J44" s="35">
        <v>160</v>
      </c>
      <c r="K44" s="35">
        <v>160</v>
      </c>
      <c r="L44" s="23">
        <v>60</v>
      </c>
      <c r="M44" s="35" t="s">
        <v>20</v>
      </c>
      <c r="N44" s="35" t="s">
        <v>20</v>
      </c>
      <c r="O44" s="39" t="s">
        <v>20</v>
      </c>
      <c r="P44" s="39" t="s">
        <v>20</v>
      </c>
      <c r="Q44" s="39" t="s">
        <v>20</v>
      </c>
    </row>
    <row r="45" spans="1:18" s="34" customFormat="1" ht="96.75" customHeight="1" x14ac:dyDescent="0.25">
      <c r="A45" s="23">
        <v>26</v>
      </c>
      <c r="B45" s="113"/>
      <c r="C45" s="23" t="s">
        <v>82</v>
      </c>
      <c r="D45" s="32" t="s">
        <v>83</v>
      </c>
      <c r="E45" s="23" t="s">
        <v>15</v>
      </c>
      <c r="F45" s="35" t="s">
        <v>20</v>
      </c>
      <c r="G45" s="35" t="s">
        <v>20</v>
      </c>
      <c r="H45" s="35" t="s">
        <v>20</v>
      </c>
      <c r="I45" s="35" t="s">
        <v>20</v>
      </c>
      <c r="J45" s="35" t="s">
        <v>20</v>
      </c>
      <c r="K45" s="35" t="s">
        <v>20</v>
      </c>
      <c r="L45" s="35" t="s">
        <v>20</v>
      </c>
      <c r="M45" s="35">
        <v>60</v>
      </c>
      <c r="N45" s="35">
        <v>500</v>
      </c>
      <c r="O45" s="39">
        <v>550</v>
      </c>
      <c r="P45" s="39">
        <v>600</v>
      </c>
      <c r="Q45" s="39">
        <v>600</v>
      </c>
      <c r="R45" s="34" t="s">
        <v>84</v>
      </c>
    </row>
    <row r="46" spans="1:18" s="34" customFormat="1" ht="33" hidden="1" customHeight="1" x14ac:dyDescent="0.25">
      <c r="A46" s="23"/>
      <c r="B46" s="52"/>
      <c r="C46" s="53"/>
      <c r="D46" s="54" t="s">
        <v>85</v>
      </c>
      <c r="E46" s="23"/>
      <c r="F46" s="23">
        <v>19</v>
      </c>
      <c r="G46" s="23">
        <v>160</v>
      </c>
      <c r="H46" s="23"/>
      <c r="I46" s="23"/>
      <c r="J46" s="23"/>
      <c r="K46" s="23"/>
      <c r="L46" s="23"/>
      <c r="M46" s="55"/>
      <c r="N46" s="55"/>
    </row>
    <row r="47" spans="1:18" s="34" customFormat="1" ht="33" hidden="1" customHeight="1" x14ac:dyDescent="0.25">
      <c r="A47" s="23"/>
      <c r="B47" s="52"/>
      <c r="C47" s="53"/>
      <c r="D47" s="54" t="s">
        <v>86</v>
      </c>
      <c r="E47" s="23"/>
      <c r="F47" s="23"/>
      <c r="G47" s="23"/>
      <c r="H47" s="23"/>
      <c r="I47" s="23"/>
      <c r="J47" s="23"/>
      <c r="K47" s="23"/>
      <c r="L47" s="23"/>
      <c r="M47" s="55"/>
      <c r="N47" s="55"/>
    </row>
    <row r="48" spans="1:18" x14ac:dyDescent="0.25">
      <c r="C48" s="2" t="s">
        <v>206</v>
      </c>
    </row>
  </sheetData>
  <mergeCells count="27">
    <mergeCell ref="E1:P1"/>
    <mergeCell ref="A2:P2"/>
    <mergeCell ref="A3:L3"/>
    <mergeCell ref="A4:A5"/>
    <mergeCell ref="B4:B5"/>
    <mergeCell ref="C4:C5"/>
    <mergeCell ref="D4:D5"/>
    <mergeCell ref="E4:E5"/>
    <mergeCell ref="A36:N36"/>
    <mergeCell ref="A7:N7"/>
    <mergeCell ref="B8:B10"/>
    <mergeCell ref="A11:O11"/>
    <mergeCell ref="B12:B19"/>
    <mergeCell ref="A20:N20"/>
    <mergeCell ref="B25:B26"/>
    <mergeCell ref="C25:C26"/>
    <mergeCell ref="F4:Q4"/>
    <mergeCell ref="A27:L27"/>
    <mergeCell ref="B28:B29"/>
    <mergeCell ref="C28:C29"/>
    <mergeCell ref="B30:B31"/>
    <mergeCell ref="C30:C31"/>
    <mergeCell ref="B37:B38"/>
    <mergeCell ref="C37:C38"/>
    <mergeCell ref="A39:N39"/>
    <mergeCell ref="A42:N42"/>
    <mergeCell ref="B44:B45"/>
  </mergeCells>
  <pageMargins left="0.59055118110236227" right="0.27559055118110237" top="0.39370078740157483" bottom="0.6692913385826772" header="0.31496062992125984" footer="0.31496062992125984"/>
  <pageSetup paperSize="9" scale="39" fitToHeight="2" orientation="landscape" useFirstPageNumber="1" r:id="rId1"/>
  <headerFooter differentFirst="1">
    <oddFooter xml:space="preserve">&amp;L
&amp;R
</oddFooter>
  </headerFooter>
  <rowBreaks count="1" manualBreakCount="1">
    <brk id="1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G26"/>
  <sheetViews>
    <sheetView view="pageBreakPreview" zoomScale="55" zoomScaleNormal="70" zoomScaleSheetLayoutView="55" workbookViewId="0">
      <pane ySplit="3" topLeftCell="A18" activePane="bottomLeft" state="frozen"/>
      <selection pane="bottomLeft" activeCell="L19" sqref="L19"/>
    </sheetView>
  </sheetViews>
  <sheetFormatPr defaultColWidth="20" defaultRowHeight="15.75" x14ac:dyDescent="0.25"/>
  <cols>
    <col min="1" max="1" width="4.5703125" style="71" customWidth="1"/>
    <col min="2" max="2" width="51.42578125" style="72" customWidth="1"/>
    <col min="3" max="3" width="62.140625" style="73" customWidth="1"/>
    <col min="4" max="4" width="17.28515625" style="73" customWidth="1"/>
    <col min="5" max="5" width="52.85546875" style="73" customWidth="1"/>
    <col min="6" max="6" width="38.85546875" style="74" customWidth="1"/>
    <col min="7" max="7" width="75.85546875" style="73" customWidth="1"/>
    <col min="8" max="256" width="20" style="59"/>
    <col min="257" max="257" width="4.5703125" style="59" customWidth="1"/>
    <col min="258" max="258" width="51.42578125" style="59" customWidth="1"/>
    <col min="259" max="259" width="33.42578125" style="59" customWidth="1"/>
    <col min="260" max="260" width="17.28515625" style="59" customWidth="1"/>
    <col min="261" max="261" width="52.85546875" style="59" customWidth="1"/>
    <col min="262" max="262" width="38.85546875" style="59" customWidth="1"/>
    <col min="263" max="263" width="75.85546875" style="59" customWidth="1"/>
    <col min="264" max="512" width="20" style="59"/>
    <col min="513" max="513" width="4.5703125" style="59" customWidth="1"/>
    <col min="514" max="514" width="51.42578125" style="59" customWidth="1"/>
    <col min="515" max="515" width="33.42578125" style="59" customWidth="1"/>
    <col min="516" max="516" width="17.28515625" style="59" customWidth="1"/>
    <col min="517" max="517" width="52.85546875" style="59" customWidth="1"/>
    <col min="518" max="518" width="38.85546875" style="59" customWidth="1"/>
    <col min="519" max="519" width="75.85546875" style="59" customWidth="1"/>
    <col min="520" max="768" width="20" style="59"/>
    <col min="769" max="769" width="4.5703125" style="59" customWidth="1"/>
    <col min="770" max="770" width="51.42578125" style="59" customWidth="1"/>
    <col min="771" max="771" width="33.42578125" style="59" customWidth="1"/>
    <col min="772" max="772" width="17.28515625" style="59" customWidth="1"/>
    <col min="773" max="773" width="52.85546875" style="59" customWidth="1"/>
    <col min="774" max="774" width="38.85546875" style="59" customWidth="1"/>
    <col min="775" max="775" width="75.85546875" style="59" customWidth="1"/>
    <col min="776" max="1024" width="20" style="59"/>
    <col min="1025" max="1025" width="4.5703125" style="59" customWidth="1"/>
    <col min="1026" max="1026" width="51.42578125" style="59" customWidth="1"/>
    <col min="1027" max="1027" width="33.42578125" style="59" customWidth="1"/>
    <col min="1028" max="1028" width="17.28515625" style="59" customWidth="1"/>
    <col min="1029" max="1029" width="52.85546875" style="59" customWidth="1"/>
    <col min="1030" max="1030" width="38.85546875" style="59" customWidth="1"/>
    <col min="1031" max="1031" width="75.85546875" style="59" customWidth="1"/>
    <col min="1032" max="1280" width="20" style="59"/>
    <col min="1281" max="1281" width="4.5703125" style="59" customWidth="1"/>
    <col min="1282" max="1282" width="51.42578125" style="59" customWidth="1"/>
    <col min="1283" max="1283" width="33.42578125" style="59" customWidth="1"/>
    <col min="1284" max="1284" width="17.28515625" style="59" customWidth="1"/>
    <col min="1285" max="1285" width="52.85546875" style="59" customWidth="1"/>
    <col min="1286" max="1286" width="38.85546875" style="59" customWidth="1"/>
    <col min="1287" max="1287" width="75.85546875" style="59" customWidth="1"/>
    <col min="1288" max="1536" width="20" style="59"/>
    <col min="1537" max="1537" width="4.5703125" style="59" customWidth="1"/>
    <col min="1538" max="1538" width="51.42578125" style="59" customWidth="1"/>
    <col min="1539" max="1539" width="33.42578125" style="59" customWidth="1"/>
    <col min="1540" max="1540" width="17.28515625" style="59" customWidth="1"/>
    <col min="1541" max="1541" width="52.85546875" style="59" customWidth="1"/>
    <col min="1542" max="1542" width="38.85546875" style="59" customWidth="1"/>
    <col min="1543" max="1543" width="75.85546875" style="59" customWidth="1"/>
    <col min="1544" max="1792" width="20" style="59"/>
    <col min="1793" max="1793" width="4.5703125" style="59" customWidth="1"/>
    <col min="1794" max="1794" width="51.42578125" style="59" customWidth="1"/>
    <col min="1795" max="1795" width="33.42578125" style="59" customWidth="1"/>
    <col min="1796" max="1796" width="17.28515625" style="59" customWidth="1"/>
    <col min="1797" max="1797" width="52.85546875" style="59" customWidth="1"/>
    <col min="1798" max="1798" width="38.85546875" style="59" customWidth="1"/>
    <col min="1799" max="1799" width="75.85546875" style="59" customWidth="1"/>
    <col min="1800" max="2048" width="20" style="59"/>
    <col min="2049" max="2049" width="4.5703125" style="59" customWidth="1"/>
    <col min="2050" max="2050" width="51.42578125" style="59" customWidth="1"/>
    <col min="2051" max="2051" width="33.42578125" style="59" customWidth="1"/>
    <col min="2052" max="2052" width="17.28515625" style="59" customWidth="1"/>
    <col min="2053" max="2053" width="52.85546875" style="59" customWidth="1"/>
    <col min="2054" max="2054" width="38.85546875" style="59" customWidth="1"/>
    <col min="2055" max="2055" width="75.85546875" style="59" customWidth="1"/>
    <col min="2056" max="2304" width="20" style="59"/>
    <col min="2305" max="2305" width="4.5703125" style="59" customWidth="1"/>
    <col min="2306" max="2306" width="51.42578125" style="59" customWidth="1"/>
    <col min="2307" max="2307" width="33.42578125" style="59" customWidth="1"/>
    <col min="2308" max="2308" width="17.28515625" style="59" customWidth="1"/>
    <col min="2309" max="2309" width="52.85546875" style="59" customWidth="1"/>
    <col min="2310" max="2310" width="38.85546875" style="59" customWidth="1"/>
    <col min="2311" max="2311" width="75.85546875" style="59" customWidth="1"/>
    <col min="2312" max="2560" width="20" style="59"/>
    <col min="2561" max="2561" width="4.5703125" style="59" customWidth="1"/>
    <col min="2562" max="2562" width="51.42578125" style="59" customWidth="1"/>
    <col min="2563" max="2563" width="33.42578125" style="59" customWidth="1"/>
    <col min="2564" max="2564" width="17.28515625" style="59" customWidth="1"/>
    <col min="2565" max="2565" width="52.85546875" style="59" customWidth="1"/>
    <col min="2566" max="2566" width="38.85546875" style="59" customWidth="1"/>
    <col min="2567" max="2567" width="75.85546875" style="59" customWidth="1"/>
    <col min="2568" max="2816" width="20" style="59"/>
    <col min="2817" max="2817" width="4.5703125" style="59" customWidth="1"/>
    <col min="2818" max="2818" width="51.42578125" style="59" customWidth="1"/>
    <col min="2819" max="2819" width="33.42578125" style="59" customWidth="1"/>
    <col min="2820" max="2820" width="17.28515625" style="59" customWidth="1"/>
    <col min="2821" max="2821" width="52.85546875" style="59" customWidth="1"/>
    <col min="2822" max="2822" width="38.85546875" style="59" customWidth="1"/>
    <col min="2823" max="2823" width="75.85546875" style="59" customWidth="1"/>
    <col min="2824" max="3072" width="20" style="59"/>
    <col min="3073" max="3073" width="4.5703125" style="59" customWidth="1"/>
    <col min="3074" max="3074" width="51.42578125" style="59" customWidth="1"/>
    <col min="3075" max="3075" width="33.42578125" style="59" customWidth="1"/>
    <col min="3076" max="3076" width="17.28515625" style="59" customWidth="1"/>
    <col min="3077" max="3077" width="52.85546875" style="59" customWidth="1"/>
    <col min="3078" max="3078" width="38.85546875" style="59" customWidth="1"/>
    <col min="3079" max="3079" width="75.85546875" style="59" customWidth="1"/>
    <col min="3080" max="3328" width="20" style="59"/>
    <col min="3329" max="3329" width="4.5703125" style="59" customWidth="1"/>
    <col min="3330" max="3330" width="51.42578125" style="59" customWidth="1"/>
    <col min="3331" max="3331" width="33.42578125" style="59" customWidth="1"/>
    <col min="3332" max="3332" width="17.28515625" style="59" customWidth="1"/>
    <col min="3333" max="3333" width="52.85546875" style="59" customWidth="1"/>
    <col min="3334" max="3334" width="38.85546875" style="59" customWidth="1"/>
    <col min="3335" max="3335" width="75.85546875" style="59" customWidth="1"/>
    <col min="3336" max="3584" width="20" style="59"/>
    <col min="3585" max="3585" width="4.5703125" style="59" customWidth="1"/>
    <col min="3586" max="3586" width="51.42578125" style="59" customWidth="1"/>
    <col min="3587" max="3587" width="33.42578125" style="59" customWidth="1"/>
    <col min="3588" max="3588" width="17.28515625" style="59" customWidth="1"/>
    <col min="3589" max="3589" width="52.85546875" style="59" customWidth="1"/>
    <col min="3590" max="3590" width="38.85546875" style="59" customWidth="1"/>
    <col min="3591" max="3591" width="75.85546875" style="59" customWidth="1"/>
    <col min="3592" max="3840" width="20" style="59"/>
    <col min="3841" max="3841" width="4.5703125" style="59" customWidth="1"/>
    <col min="3842" max="3842" width="51.42578125" style="59" customWidth="1"/>
    <col min="3843" max="3843" width="33.42578125" style="59" customWidth="1"/>
    <col min="3844" max="3844" width="17.28515625" style="59" customWidth="1"/>
    <col min="3845" max="3845" width="52.85546875" style="59" customWidth="1"/>
    <col min="3846" max="3846" width="38.85546875" style="59" customWidth="1"/>
    <col min="3847" max="3847" width="75.85546875" style="59" customWidth="1"/>
    <col min="3848" max="4096" width="20" style="59"/>
    <col min="4097" max="4097" width="4.5703125" style="59" customWidth="1"/>
    <col min="4098" max="4098" width="51.42578125" style="59" customWidth="1"/>
    <col min="4099" max="4099" width="33.42578125" style="59" customWidth="1"/>
    <col min="4100" max="4100" width="17.28515625" style="59" customWidth="1"/>
    <col min="4101" max="4101" width="52.85546875" style="59" customWidth="1"/>
    <col min="4102" max="4102" width="38.85546875" style="59" customWidth="1"/>
    <col min="4103" max="4103" width="75.85546875" style="59" customWidth="1"/>
    <col min="4104" max="4352" width="20" style="59"/>
    <col min="4353" max="4353" width="4.5703125" style="59" customWidth="1"/>
    <col min="4354" max="4354" width="51.42578125" style="59" customWidth="1"/>
    <col min="4355" max="4355" width="33.42578125" style="59" customWidth="1"/>
    <col min="4356" max="4356" width="17.28515625" style="59" customWidth="1"/>
    <col min="4357" max="4357" width="52.85546875" style="59" customWidth="1"/>
    <col min="4358" max="4358" width="38.85546875" style="59" customWidth="1"/>
    <col min="4359" max="4359" width="75.85546875" style="59" customWidth="1"/>
    <col min="4360" max="4608" width="20" style="59"/>
    <col min="4609" max="4609" width="4.5703125" style="59" customWidth="1"/>
    <col min="4610" max="4610" width="51.42578125" style="59" customWidth="1"/>
    <col min="4611" max="4611" width="33.42578125" style="59" customWidth="1"/>
    <col min="4612" max="4612" width="17.28515625" style="59" customWidth="1"/>
    <col min="4613" max="4613" width="52.85546875" style="59" customWidth="1"/>
    <col min="4614" max="4614" width="38.85546875" style="59" customWidth="1"/>
    <col min="4615" max="4615" width="75.85546875" style="59" customWidth="1"/>
    <col min="4616" max="4864" width="20" style="59"/>
    <col min="4865" max="4865" width="4.5703125" style="59" customWidth="1"/>
    <col min="4866" max="4866" width="51.42578125" style="59" customWidth="1"/>
    <col min="4867" max="4867" width="33.42578125" style="59" customWidth="1"/>
    <col min="4868" max="4868" width="17.28515625" style="59" customWidth="1"/>
    <col min="4869" max="4869" width="52.85546875" style="59" customWidth="1"/>
    <col min="4870" max="4870" width="38.85546875" style="59" customWidth="1"/>
    <col min="4871" max="4871" width="75.85546875" style="59" customWidth="1"/>
    <col min="4872" max="5120" width="20" style="59"/>
    <col min="5121" max="5121" width="4.5703125" style="59" customWidth="1"/>
    <col min="5122" max="5122" width="51.42578125" style="59" customWidth="1"/>
    <col min="5123" max="5123" width="33.42578125" style="59" customWidth="1"/>
    <col min="5124" max="5124" width="17.28515625" style="59" customWidth="1"/>
    <col min="5125" max="5125" width="52.85546875" style="59" customWidth="1"/>
    <col min="5126" max="5126" width="38.85546875" style="59" customWidth="1"/>
    <col min="5127" max="5127" width="75.85546875" style="59" customWidth="1"/>
    <col min="5128" max="5376" width="20" style="59"/>
    <col min="5377" max="5377" width="4.5703125" style="59" customWidth="1"/>
    <col min="5378" max="5378" width="51.42578125" style="59" customWidth="1"/>
    <col min="5379" max="5379" width="33.42578125" style="59" customWidth="1"/>
    <col min="5380" max="5380" width="17.28515625" style="59" customWidth="1"/>
    <col min="5381" max="5381" width="52.85546875" style="59" customWidth="1"/>
    <col min="5382" max="5382" width="38.85546875" style="59" customWidth="1"/>
    <col min="5383" max="5383" width="75.85546875" style="59" customWidth="1"/>
    <col min="5384" max="5632" width="20" style="59"/>
    <col min="5633" max="5633" width="4.5703125" style="59" customWidth="1"/>
    <col min="5634" max="5634" width="51.42578125" style="59" customWidth="1"/>
    <col min="5635" max="5635" width="33.42578125" style="59" customWidth="1"/>
    <col min="5636" max="5636" width="17.28515625" style="59" customWidth="1"/>
    <col min="5637" max="5637" width="52.85546875" style="59" customWidth="1"/>
    <col min="5638" max="5638" width="38.85546875" style="59" customWidth="1"/>
    <col min="5639" max="5639" width="75.85546875" style="59" customWidth="1"/>
    <col min="5640" max="5888" width="20" style="59"/>
    <col min="5889" max="5889" width="4.5703125" style="59" customWidth="1"/>
    <col min="5890" max="5890" width="51.42578125" style="59" customWidth="1"/>
    <col min="5891" max="5891" width="33.42578125" style="59" customWidth="1"/>
    <col min="5892" max="5892" width="17.28515625" style="59" customWidth="1"/>
    <col min="5893" max="5893" width="52.85546875" style="59" customWidth="1"/>
    <col min="5894" max="5894" width="38.85546875" style="59" customWidth="1"/>
    <col min="5895" max="5895" width="75.85546875" style="59" customWidth="1"/>
    <col min="5896" max="6144" width="20" style="59"/>
    <col min="6145" max="6145" width="4.5703125" style="59" customWidth="1"/>
    <col min="6146" max="6146" width="51.42578125" style="59" customWidth="1"/>
    <col min="6147" max="6147" width="33.42578125" style="59" customWidth="1"/>
    <col min="6148" max="6148" width="17.28515625" style="59" customWidth="1"/>
    <col min="6149" max="6149" width="52.85546875" style="59" customWidth="1"/>
    <col min="6150" max="6150" width="38.85546875" style="59" customWidth="1"/>
    <col min="6151" max="6151" width="75.85546875" style="59" customWidth="1"/>
    <col min="6152" max="6400" width="20" style="59"/>
    <col min="6401" max="6401" width="4.5703125" style="59" customWidth="1"/>
    <col min="6402" max="6402" width="51.42578125" style="59" customWidth="1"/>
    <col min="6403" max="6403" width="33.42578125" style="59" customWidth="1"/>
    <col min="6404" max="6404" width="17.28515625" style="59" customWidth="1"/>
    <col min="6405" max="6405" width="52.85546875" style="59" customWidth="1"/>
    <col min="6406" max="6406" width="38.85546875" style="59" customWidth="1"/>
    <col min="6407" max="6407" width="75.85546875" style="59" customWidth="1"/>
    <col min="6408" max="6656" width="20" style="59"/>
    <col min="6657" max="6657" width="4.5703125" style="59" customWidth="1"/>
    <col min="6658" max="6658" width="51.42578125" style="59" customWidth="1"/>
    <col min="6659" max="6659" width="33.42578125" style="59" customWidth="1"/>
    <col min="6660" max="6660" width="17.28515625" style="59" customWidth="1"/>
    <col min="6661" max="6661" width="52.85546875" style="59" customWidth="1"/>
    <col min="6662" max="6662" width="38.85546875" style="59" customWidth="1"/>
    <col min="6663" max="6663" width="75.85546875" style="59" customWidth="1"/>
    <col min="6664" max="6912" width="20" style="59"/>
    <col min="6913" max="6913" width="4.5703125" style="59" customWidth="1"/>
    <col min="6914" max="6914" width="51.42578125" style="59" customWidth="1"/>
    <col min="6915" max="6915" width="33.42578125" style="59" customWidth="1"/>
    <col min="6916" max="6916" width="17.28515625" style="59" customWidth="1"/>
    <col min="6917" max="6917" width="52.85546875" style="59" customWidth="1"/>
    <col min="6918" max="6918" width="38.85546875" style="59" customWidth="1"/>
    <col min="6919" max="6919" width="75.85546875" style="59" customWidth="1"/>
    <col min="6920" max="7168" width="20" style="59"/>
    <col min="7169" max="7169" width="4.5703125" style="59" customWidth="1"/>
    <col min="7170" max="7170" width="51.42578125" style="59" customWidth="1"/>
    <col min="7171" max="7171" width="33.42578125" style="59" customWidth="1"/>
    <col min="7172" max="7172" width="17.28515625" style="59" customWidth="1"/>
    <col min="7173" max="7173" width="52.85546875" style="59" customWidth="1"/>
    <col min="7174" max="7174" width="38.85546875" style="59" customWidth="1"/>
    <col min="7175" max="7175" width="75.85546875" style="59" customWidth="1"/>
    <col min="7176" max="7424" width="20" style="59"/>
    <col min="7425" max="7425" width="4.5703125" style="59" customWidth="1"/>
    <col min="7426" max="7426" width="51.42578125" style="59" customWidth="1"/>
    <col min="7427" max="7427" width="33.42578125" style="59" customWidth="1"/>
    <col min="7428" max="7428" width="17.28515625" style="59" customWidth="1"/>
    <col min="7429" max="7429" width="52.85546875" style="59" customWidth="1"/>
    <col min="7430" max="7430" width="38.85546875" style="59" customWidth="1"/>
    <col min="7431" max="7431" width="75.85546875" style="59" customWidth="1"/>
    <col min="7432" max="7680" width="20" style="59"/>
    <col min="7681" max="7681" width="4.5703125" style="59" customWidth="1"/>
    <col min="7682" max="7682" width="51.42578125" style="59" customWidth="1"/>
    <col min="7683" max="7683" width="33.42578125" style="59" customWidth="1"/>
    <col min="7684" max="7684" width="17.28515625" style="59" customWidth="1"/>
    <col min="7685" max="7685" width="52.85546875" style="59" customWidth="1"/>
    <col min="7686" max="7686" width="38.85546875" style="59" customWidth="1"/>
    <col min="7687" max="7687" width="75.85546875" style="59" customWidth="1"/>
    <col min="7688" max="7936" width="20" style="59"/>
    <col min="7937" max="7937" width="4.5703125" style="59" customWidth="1"/>
    <col min="7938" max="7938" width="51.42578125" style="59" customWidth="1"/>
    <col min="7939" max="7939" width="33.42578125" style="59" customWidth="1"/>
    <col min="7940" max="7940" width="17.28515625" style="59" customWidth="1"/>
    <col min="7941" max="7941" width="52.85546875" style="59" customWidth="1"/>
    <col min="7942" max="7942" width="38.85546875" style="59" customWidth="1"/>
    <col min="7943" max="7943" width="75.85546875" style="59" customWidth="1"/>
    <col min="7944" max="8192" width="20" style="59"/>
    <col min="8193" max="8193" width="4.5703125" style="59" customWidth="1"/>
    <col min="8194" max="8194" width="51.42578125" style="59" customWidth="1"/>
    <col min="8195" max="8195" width="33.42578125" style="59" customWidth="1"/>
    <col min="8196" max="8196" width="17.28515625" style="59" customWidth="1"/>
    <col min="8197" max="8197" width="52.85546875" style="59" customWidth="1"/>
    <col min="8198" max="8198" width="38.85546875" style="59" customWidth="1"/>
    <col min="8199" max="8199" width="75.85546875" style="59" customWidth="1"/>
    <col min="8200" max="8448" width="20" style="59"/>
    <col min="8449" max="8449" width="4.5703125" style="59" customWidth="1"/>
    <col min="8450" max="8450" width="51.42578125" style="59" customWidth="1"/>
    <col min="8451" max="8451" width="33.42578125" style="59" customWidth="1"/>
    <col min="8452" max="8452" width="17.28515625" style="59" customWidth="1"/>
    <col min="8453" max="8453" width="52.85546875" style="59" customWidth="1"/>
    <col min="8454" max="8454" width="38.85546875" style="59" customWidth="1"/>
    <col min="8455" max="8455" width="75.85546875" style="59" customWidth="1"/>
    <col min="8456" max="8704" width="20" style="59"/>
    <col min="8705" max="8705" width="4.5703125" style="59" customWidth="1"/>
    <col min="8706" max="8706" width="51.42578125" style="59" customWidth="1"/>
    <col min="8707" max="8707" width="33.42578125" style="59" customWidth="1"/>
    <col min="8708" max="8708" width="17.28515625" style="59" customWidth="1"/>
    <col min="8709" max="8709" width="52.85546875" style="59" customWidth="1"/>
    <col min="8710" max="8710" width="38.85546875" style="59" customWidth="1"/>
    <col min="8711" max="8711" width="75.85546875" style="59" customWidth="1"/>
    <col min="8712" max="8960" width="20" style="59"/>
    <col min="8961" max="8961" width="4.5703125" style="59" customWidth="1"/>
    <col min="8962" max="8962" width="51.42578125" style="59" customWidth="1"/>
    <col min="8963" max="8963" width="33.42578125" style="59" customWidth="1"/>
    <col min="8964" max="8964" width="17.28515625" style="59" customWidth="1"/>
    <col min="8965" max="8965" width="52.85546875" style="59" customWidth="1"/>
    <col min="8966" max="8966" width="38.85546875" style="59" customWidth="1"/>
    <col min="8967" max="8967" width="75.85546875" style="59" customWidth="1"/>
    <col min="8968" max="9216" width="20" style="59"/>
    <col min="9217" max="9217" width="4.5703125" style="59" customWidth="1"/>
    <col min="9218" max="9218" width="51.42578125" style="59" customWidth="1"/>
    <col min="9219" max="9219" width="33.42578125" style="59" customWidth="1"/>
    <col min="9220" max="9220" width="17.28515625" style="59" customWidth="1"/>
    <col min="9221" max="9221" width="52.85546875" style="59" customWidth="1"/>
    <col min="9222" max="9222" width="38.85546875" style="59" customWidth="1"/>
    <col min="9223" max="9223" width="75.85546875" style="59" customWidth="1"/>
    <col min="9224" max="9472" width="20" style="59"/>
    <col min="9473" max="9473" width="4.5703125" style="59" customWidth="1"/>
    <col min="9474" max="9474" width="51.42578125" style="59" customWidth="1"/>
    <col min="9475" max="9475" width="33.42578125" style="59" customWidth="1"/>
    <col min="9476" max="9476" width="17.28515625" style="59" customWidth="1"/>
    <col min="9477" max="9477" width="52.85546875" style="59" customWidth="1"/>
    <col min="9478" max="9478" width="38.85546875" style="59" customWidth="1"/>
    <col min="9479" max="9479" width="75.85546875" style="59" customWidth="1"/>
    <col min="9480" max="9728" width="20" style="59"/>
    <col min="9729" max="9729" width="4.5703125" style="59" customWidth="1"/>
    <col min="9730" max="9730" width="51.42578125" style="59" customWidth="1"/>
    <col min="9731" max="9731" width="33.42578125" style="59" customWidth="1"/>
    <col min="9732" max="9732" width="17.28515625" style="59" customWidth="1"/>
    <col min="9733" max="9733" width="52.85546875" style="59" customWidth="1"/>
    <col min="9734" max="9734" width="38.85546875" style="59" customWidth="1"/>
    <col min="9735" max="9735" width="75.85546875" style="59" customWidth="1"/>
    <col min="9736" max="9984" width="20" style="59"/>
    <col min="9985" max="9985" width="4.5703125" style="59" customWidth="1"/>
    <col min="9986" max="9986" width="51.42578125" style="59" customWidth="1"/>
    <col min="9987" max="9987" width="33.42578125" style="59" customWidth="1"/>
    <col min="9988" max="9988" width="17.28515625" style="59" customWidth="1"/>
    <col min="9989" max="9989" width="52.85546875" style="59" customWidth="1"/>
    <col min="9990" max="9990" width="38.85546875" style="59" customWidth="1"/>
    <col min="9991" max="9991" width="75.85546875" style="59" customWidth="1"/>
    <col min="9992" max="10240" width="20" style="59"/>
    <col min="10241" max="10241" width="4.5703125" style="59" customWidth="1"/>
    <col min="10242" max="10242" width="51.42578125" style="59" customWidth="1"/>
    <col min="10243" max="10243" width="33.42578125" style="59" customWidth="1"/>
    <col min="10244" max="10244" width="17.28515625" style="59" customWidth="1"/>
    <col min="10245" max="10245" width="52.85546875" style="59" customWidth="1"/>
    <col min="10246" max="10246" width="38.85546875" style="59" customWidth="1"/>
    <col min="10247" max="10247" width="75.85546875" style="59" customWidth="1"/>
    <col min="10248" max="10496" width="20" style="59"/>
    <col min="10497" max="10497" width="4.5703125" style="59" customWidth="1"/>
    <col min="10498" max="10498" width="51.42578125" style="59" customWidth="1"/>
    <col min="10499" max="10499" width="33.42578125" style="59" customWidth="1"/>
    <col min="10500" max="10500" width="17.28515625" style="59" customWidth="1"/>
    <col min="10501" max="10501" width="52.85546875" style="59" customWidth="1"/>
    <col min="10502" max="10502" width="38.85546875" style="59" customWidth="1"/>
    <col min="10503" max="10503" width="75.85546875" style="59" customWidth="1"/>
    <col min="10504" max="10752" width="20" style="59"/>
    <col min="10753" max="10753" width="4.5703125" style="59" customWidth="1"/>
    <col min="10754" max="10754" width="51.42578125" style="59" customWidth="1"/>
    <col min="10755" max="10755" width="33.42578125" style="59" customWidth="1"/>
    <col min="10756" max="10756" width="17.28515625" style="59" customWidth="1"/>
    <col min="10757" max="10757" width="52.85546875" style="59" customWidth="1"/>
    <col min="10758" max="10758" width="38.85546875" style="59" customWidth="1"/>
    <col min="10759" max="10759" width="75.85546875" style="59" customWidth="1"/>
    <col min="10760" max="11008" width="20" style="59"/>
    <col min="11009" max="11009" width="4.5703125" style="59" customWidth="1"/>
    <col min="11010" max="11010" width="51.42578125" style="59" customWidth="1"/>
    <col min="11011" max="11011" width="33.42578125" style="59" customWidth="1"/>
    <col min="11012" max="11012" width="17.28515625" style="59" customWidth="1"/>
    <col min="11013" max="11013" width="52.85546875" style="59" customWidth="1"/>
    <col min="11014" max="11014" width="38.85546875" style="59" customWidth="1"/>
    <col min="11015" max="11015" width="75.85546875" style="59" customWidth="1"/>
    <col min="11016" max="11264" width="20" style="59"/>
    <col min="11265" max="11265" width="4.5703125" style="59" customWidth="1"/>
    <col min="11266" max="11266" width="51.42578125" style="59" customWidth="1"/>
    <col min="11267" max="11267" width="33.42578125" style="59" customWidth="1"/>
    <col min="11268" max="11268" width="17.28515625" style="59" customWidth="1"/>
    <col min="11269" max="11269" width="52.85546875" style="59" customWidth="1"/>
    <col min="11270" max="11270" width="38.85546875" style="59" customWidth="1"/>
    <col min="11271" max="11271" width="75.85546875" style="59" customWidth="1"/>
    <col min="11272" max="11520" width="20" style="59"/>
    <col min="11521" max="11521" width="4.5703125" style="59" customWidth="1"/>
    <col min="11522" max="11522" width="51.42578125" style="59" customWidth="1"/>
    <col min="11523" max="11523" width="33.42578125" style="59" customWidth="1"/>
    <col min="11524" max="11524" width="17.28515625" style="59" customWidth="1"/>
    <col min="11525" max="11525" width="52.85546875" style="59" customWidth="1"/>
    <col min="11526" max="11526" width="38.85546875" style="59" customWidth="1"/>
    <col min="11527" max="11527" width="75.85546875" style="59" customWidth="1"/>
    <col min="11528" max="11776" width="20" style="59"/>
    <col min="11777" max="11777" width="4.5703125" style="59" customWidth="1"/>
    <col min="11778" max="11778" width="51.42578125" style="59" customWidth="1"/>
    <col min="11779" max="11779" width="33.42578125" style="59" customWidth="1"/>
    <col min="11780" max="11780" width="17.28515625" style="59" customWidth="1"/>
    <col min="11781" max="11781" width="52.85546875" style="59" customWidth="1"/>
    <col min="11782" max="11782" width="38.85546875" style="59" customWidth="1"/>
    <col min="11783" max="11783" width="75.85546875" style="59" customWidth="1"/>
    <col min="11784" max="12032" width="20" style="59"/>
    <col min="12033" max="12033" width="4.5703125" style="59" customWidth="1"/>
    <col min="12034" max="12034" width="51.42578125" style="59" customWidth="1"/>
    <col min="12035" max="12035" width="33.42578125" style="59" customWidth="1"/>
    <col min="12036" max="12036" width="17.28515625" style="59" customWidth="1"/>
    <col min="12037" max="12037" width="52.85546875" style="59" customWidth="1"/>
    <col min="12038" max="12038" width="38.85546875" style="59" customWidth="1"/>
    <col min="12039" max="12039" width="75.85546875" style="59" customWidth="1"/>
    <col min="12040" max="12288" width="20" style="59"/>
    <col min="12289" max="12289" width="4.5703125" style="59" customWidth="1"/>
    <col min="12290" max="12290" width="51.42578125" style="59" customWidth="1"/>
    <col min="12291" max="12291" width="33.42578125" style="59" customWidth="1"/>
    <col min="12292" max="12292" width="17.28515625" style="59" customWidth="1"/>
    <col min="12293" max="12293" width="52.85546875" style="59" customWidth="1"/>
    <col min="12294" max="12294" width="38.85546875" style="59" customWidth="1"/>
    <col min="12295" max="12295" width="75.85546875" style="59" customWidth="1"/>
    <col min="12296" max="12544" width="20" style="59"/>
    <col min="12545" max="12545" width="4.5703125" style="59" customWidth="1"/>
    <col min="12546" max="12546" width="51.42578125" style="59" customWidth="1"/>
    <col min="12547" max="12547" width="33.42578125" style="59" customWidth="1"/>
    <col min="12548" max="12548" width="17.28515625" style="59" customWidth="1"/>
    <col min="12549" max="12549" width="52.85546875" style="59" customWidth="1"/>
    <col min="12550" max="12550" width="38.85546875" style="59" customWidth="1"/>
    <col min="12551" max="12551" width="75.85546875" style="59" customWidth="1"/>
    <col min="12552" max="12800" width="20" style="59"/>
    <col min="12801" max="12801" width="4.5703125" style="59" customWidth="1"/>
    <col min="12802" max="12802" width="51.42578125" style="59" customWidth="1"/>
    <col min="12803" max="12803" width="33.42578125" style="59" customWidth="1"/>
    <col min="12804" max="12804" width="17.28515625" style="59" customWidth="1"/>
    <col min="12805" max="12805" width="52.85546875" style="59" customWidth="1"/>
    <col min="12806" max="12806" width="38.85546875" style="59" customWidth="1"/>
    <col min="12807" max="12807" width="75.85546875" style="59" customWidth="1"/>
    <col min="12808" max="13056" width="20" style="59"/>
    <col min="13057" max="13057" width="4.5703125" style="59" customWidth="1"/>
    <col min="13058" max="13058" width="51.42578125" style="59" customWidth="1"/>
    <col min="13059" max="13059" width="33.42578125" style="59" customWidth="1"/>
    <col min="13060" max="13060" width="17.28515625" style="59" customWidth="1"/>
    <col min="13061" max="13061" width="52.85546875" style="59" customWidth="1"/>
    <col min="13062" max="13062" width="38.85546875" style="59" customWidth="1"/>
    <col min="13063" max="13063" width="75.85546875" style="59" customWidth="1"/>
    <col min="13064" max="13312" width="20" style="59"/>
    <col min="13313" max="13313" width="4.5703125" style="59" customWidth="1"/>
    <col min="13314" max="13314" width="51.42578125" style="59" customWidth="1"/>
    <col min="13315" max="13315" width="33.42578125" style="59" customWidth="1"/>
    <col min="13316" max="13316" width="17.28515625" style="59" customWidth="1"/>
    <col min="13317" max="13317" width="52.85546875" style="59" customWidth="1"/>
    <col min="13318" max="13318" width="38.85546875" style="59" customWidth="1"/>
    <col min="13319" max="13319" width="75.85546875" style="59" customWidth="1"/>
    <col min="13320" max="13568" width="20" style="59"/>
    <col min="13569" max="13569" width="4.5703125" style="59" customWidth="1"/>
    <col min="13570" max="13570" width="51.42578125" style="59" customWidth="1"/>
    <col min="13571" max="13571" width="33.42578125" style="59" customWidth="1"/>
    <col min="13572" max="13572" width="17.28515625" style="59" customWidth="1"/>
    <col min="13573" max="13573" width="52.85546875" style="59" customWidth="1"/>
    <col min="13574" max="13574" width="38.85546875" style="59" customWidth="1"/>
    <col min="13575" max="13575" width="75.85546875" style="59" customWidth="1"/>
    <col min="13576" max="13824" width="20" style="59"/>
    <col min="13825" max="13825" width="4.5703125" style="59" customWidth="1"/>
    <col min="13826" max="13826" width="51.42578125" style="59" customWidth="1"/>
    <col min="13827" max="13827" width="33.42578125" style="59" customWidth="1"/>
    <col min="13828" max="13828" width="17.28515625" style="59" customWidth="1"/>
    <col min="13829" max="13829" width="52.85546875" style="59" customWidth="1"/>
    <col min="13830" max="13830" width="38.85546875" style="59" customWidth="1"/>
    <col min="13831" max="13831" width="75.85546875" style="59" customWidth="1"/>
    <col min="13832" max="14080" width="20" style="59"/>
    <col min="14081" max="14081" width="4.5703125" style="59" customWidth="1"/>
    <col min="14082" max="14082" width="51.42578125" style="59" customWidth="1"/>
    <col min="14083" max="14083" width="33.42578125" style="59" customWidth="1"/>
    <col min="14084" max="14084" width="17.28515625" style="59" customWidth="1"/>
    <col min="14085" max="14085" width="52.85546875" style="59" customWidth="1"/>
    <col min="14086" max="14086" width="38.85546875" style="59" customWidth="1"/>
    <col min="14087" max="14087" width="75.85546875" style="59" customWidth="1"/>
    <col min="14088" max="14336" width="20" style="59"/>
    <col min="14337" max="14337" width="4.5703125" style="59" customWidth="1"/>
    <col min="14338" max="14338" width="51.42578125" style="59" customWidth="1"/>
    <col min="14339" max="14339" width="33.42578125" style="59" customWidth="1"/>
    <col min="14340" max="14340" width="17.28515625" style="59" customWidth="1"/>
    <col min="14341" max="14341" width="52.85546875" style="59" customWidth="1"/>
    <col min="14342" max="14342" width="38.85546875" style="59" customWidth="1"/>
    <col min="14343" max="14343" width="75.85546875" style="59" customWidth="1"/>
    <col min="14344" max="14592" width="20" style="59"/>
    <col min="14593" max="14593" width="4.5703125" style="59" customWidth="1"/>
    <col min="14594" max="14594" width="51.42578125" style="59" customWidth="1"/>
    <col min="14595" max="14595" width="33.42578125" style="59" customWidth="1"/>
    <col min="14596" max="14596" width="17.28515625" style="59" customWidth="1"/>
    <col min="14597" max="14597" width="52.85546875" style="59" customWidth="1"/>
    <col min="14598" max="14598" width="38.85546875" style="59" customWidth="1"/>
    <col min="14599" max="14599" width="75.85546875" style="59" customWidth="1"/>
    <col min="14600" max="14848" width="20" style="59"/>
    <col min="14849" max="14849" width="4.5703125" style="59" customWidth="1"/>
    <col min="14850" max="14850" width="51.42578125" style="59" customWidth="1"/>
    <col min="14851" max="14851" width="33.42578125" style="59" customWidth="1"/>
    <col min="14852" max="14852" width="17.28515625" style="59" customWidth="1"/>
    <col min="14853" max="14853" width="52.85546875" style="59" customWidth="1"/>
    <col min="14854" max="14854" width="38.85546875" style="59" customWidth="1"/>
    <col min="14855" max="14855" width="75.85546875" style="59" customWidth="1"/>
    <col min="14856" max="15104" width="20" style="59"/>
    <col min="15105" max="15105" width="4.5703125" style="59" customWidth="1"/>
    <col min="15106" max="15106" width="51.42578125" style="59" customWidth="1"/>
    <col min="15107" max="15107" width="33.42578125" style="59" customWidth="1"/>
    <col min="15108" max="15108" width="17.28515625" style="59" customWidth="1"/>
    <col min="15109" max="15109" width="52.85546875" style="59" customWidth="1"/>
    <col min="15110" max="15110" width="38.85546875" style="59" customWidth="1"/>
    <col min="15111" max="15111" width="75.85546875" style="59" customWidth="1"/>
    <col min="15112" max="15360" width="20" style="59"/>
    <col min="15361" max="15361" width="4.5703125" style="59" customWidth="1"/>
    <col min="15362" max="15362" width="51.42578125" style="59" customWidth="1"/>
    <col min="15363" max="15363" width="33.42578125" style="59" customWidth="1"/>
    <col min="15364" max="15364" width="17.28515625" style="59" customWidth="1"/>
    <col min="15365" max="15365" width="52.85546875" style="59" customWidth="1"/>
    <col min="15366" max="15366" width="38.85546875" style="59" customWidth="1"/>
    <col min="15367" max="15367" width="75.85546875" style="59" customWidth="1"/>
    <col min="15368" max="15616" width="20" style="59"/>
    <col min="15617" max="15617" width="4.5703125" style="59" customWidth="1"/>
    <col min="15618" max="15618" width="51.42578125" style="59" customWidth="1"/>
    <col min="15619" max="15619" width="33.42578125" style="59" customWidth="1"/>
    <col min="15620" max="15620" width="17.28515625" style="59" customWidth="1"/>
    <col min="15621" max="15621" width="52.85546875" style="59" customWidth="1"/>
    <col min="15622" max="15622" width="38.85546875" style="59" customWidth="1"/>
    <col min="15623" max="15623" width="75.85546875" style="59" customWidth="1"/>
    <col min="15624" max="15872" width="20" style="59"/>
    <col min="15873" max="15873" width="4.5703125" style="59" customWidth="1"/>
    <col min="15874" max="15874" width="51.42578125" style="59" customWidth="1"/>
    <col min="15875" max="15875" width="33.42578125" style="59" customWidth="1"/>
    <col min="15876" max="15876" width="17.28515625" style="59" customWidth="1"/>
    <col min="15877" max="15877" width="52.85546875" style="59" customWidth="1"/>
    <col min="15878" max="15878" width="38.85546875" style="59" customWidth="1"/>
    <col min="15879" max="15879" width="75.85546875" style="59" customWidth="1"/>
    <col min="15880" max="16128" width="20" style="59"/>
    <col min="16129" max="16129" width="4.5703125" style="59" customWidth="1"/>
    <col min="16130" max="16130" width="51.42578125" style="59" customWidth="1"/>
    <col min="16131" max="16131" width="33.42578125" style="59" customWidth="1"/>
    <col min="16132" max="16132" width="17.28515625" style="59" customWidth="1"/>
    <col min="16133" max="16133" width="52.85546875" style="59" customWidth="1"/>
    <col min="16134" max="16134" width="38.85546875" style="59" customWidth="1"/>
    <col min="16135" max="16135" width="75.85546875" style="59" customWidth="1"/>
    <col min="16136" max="16384" width="20" style="59"/>
  </cols>
  <sheetData>
    <row r="1" spans="1:7" x14ac:dyDescent="0.25">
      <c r="A1" s="138" t="s">
        <v>92</v>
      </c>
      <c r="B1" s="138"/>
      <c r="C1" s="138"/>
      <c r="D1" s="138"/>
      <c r="E1" s="138"/>
      <c r="F1" s="138"/>
      <c r="G1" s="138"/>
    </row>
    <row r="2" spans="1:7" ht="36.75" customHeight="1" x14ac:dyDescent="0.25">
      <c r="A2" s="139" t="s">
        <v>93</v>
      </c>
      <c r="B2" s="139"/>
      <c r="C2" s="139"/>
      <c r="D2" s="139"/>
      <c r="E2" s="139"/>
      <c r="F2" s="139"/>
      <c r="G2" s="139"/>
    </row>
    <row r="3" spans="1:7" ht="81.75" customHeight="1" x14ac:dyDescent="0.25">
      <c r="A3" s="60" t="s">
        <v>3</v>
      </c>
      <c r="B3" s="61" t="s">
        <v>94</v>
      </c>
      <c r="C3" s="61" t="s">
        <v>95</v>
      </c>
      <c r="D3" s="61" t="s">
        <v>96</v>
      </c>
      <c r="E3" s="61" t="s">
        <v>97</v>
      </c>
      <c r="F3" s="61" t="s">
        <v>98</v>
      </c>
      <c r="G3" s="61" t="s">
        <v>99</v>
      </c>
    </row>
    <row r="4" spans="1:7" s="63" customFormat="1" x14ac:dyDescent="0.25">
      <c r="A4" s="6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</row>
    <row r="5" spans="1:7" s="64" customFormat="1" ht="29.25" customHeight="1" x14ac:dyDescent="0.3">
      <c r="A5" s="140" t="s">
        <v>100</v>
      </c>
      <c r="B5" s="141"/>
      <c r="C5" s="141"/>
      <c r="D5" s="141"/>
      <c r="E5" s="141"/>
      <c r="F5" s="141"/>
      <c r="G5" s="142"/>
    </row>
    <row r="6" spans="1:7" s="65" customFormat="1" ht="24.75" customHeight="1" x14ac:dyDescent="0.25">
      <c r="A6" s="135" t="s">
        <v>101</v>
      </c>
      <c r="B6" s="136"/>
      <c r="C6" s="136"/>
      <c r="D6" s="136"/>
      <c r="E6" s="136"/>
      <c r="F6" s="136"/>
      <c r="G6" s="137"/>
    </row>
    <row r="7" spans="1:7" s="65" customFormat="1" ht="24.75" customHeight="1" x14ac:dyDescent="0.25">
      <c r="A7" s="135" t="s">
        <v>102</v>
      </c>
      <c r="B7" s="136"/>
      <c r="C7" s="136"/>
      <c r="D7" s="136"/>
      <c r="E7" s="136"/>
      <c r="F7" s="136"/>
      <c r="G7" s="137"/>
    </row>
    <row r="8" spans="1:7" ht="106.5" customHeight="1" x14ac:dyDescent="0.25">
      <c r="A8" s="62">
        <v>1</v>
      </c>
      <c r="B8" s="66" t="s">
        <v>103</v>
      </c>
      <c r="C8" s="7" t="s">
        <v>37</v>
      </c>
      <c r="D8" s="6" t="s">
        <v>146</v>
      </c>
      <c r="E8" s="7" t="s">
        <v>104</v>
      </c>
      <c r="F8" s="7" t="s">
        <v>105</v>
      </c>
      <c r="G8" s="6" t="s">
        <v>106</v>
      </c>
    </row>
    <row r="9" spans="1:7" ht="112.5" customHeight="1" x14ac:dyDescent="0.25">
      <c r="A9" s="62">
        <v>2</v>
      </c>
      <c r="B9" s="67" t="s">
        <v>39</v>
      </c>
      <c r="C9" s="68" t="s">
        <v>107</v>
      </c>
      <c r="D9" s="6" t="s">
        <v>146</v>
      </c>
      <c r="E9" s="7" t="s">
        <v>108</v>
      </c>
      <c r="F9" s="7" t="s">
        <v>109</v>
      </c>
      <c r="G9" s="6" t="s">
        <v>110</v>
      </c>
    </row>
    <row r="10" spans="1:7" ht="95.25" customHeight="1" x14ac:dyDescent="0.25">
      <c r="A10" s="62">
        <v>3</v>
      </c>
      <c r="B10" s="67" t="s">
        <v>42</v>
      </c>
      <c r="C10" s="68" t="s">
        <v>107</v>
      </c>
      <c r="D10" s="6" t="s">
        <v>146</v>
      </c>
      <c r="E10" s="7" t="s">
        <v>111</v>
      </c>
      <c r="F10" s="7" t="s">
        <v>109</v>
      </c>
      <c r="G10" s="6" t="s">
        <v>112</v>
      </c>
    </row>
    <row r="11" spans="1:7" ht="95.25" customHeight="1" x14ac:dyDescent="0.25">
      <c r="A11" s="62">
        <v>4</v>
      </c>
      <c r="B11" s="67" t="s">
        <v>152</v>
      </c>
      <c r="C11" s="68" t="s">
        <v>107</v>
      </c>
      <c r="D11" s="6" t="s">
        <v>153</v>
      </c>
      <c r="E11" s="7" t="s">
        <v>154</v>
      </c>
      <c r="F11" s="7" t="s">
        <v>109</v>
      </c>
      <c r="G11" s="6" t="s">
        <v>112</v>
      </c>
    </row>
    <row r="12" spans="1:7" ht="126.75" customHeight="1" x14ac:dyDescent="0.25">
      <c r="A12" s="62">
        <v>5</v>
      </c>
      <c r="B12" s="67" t="s">
        <v>46</v>
      </c>
      <c r="C12" s="68" t="s">
        <v>107</v>
      </c>
      <c r="D12" s="6" t="s">
        <v>146</v>
      </c>
      <c r="E12" s="7" t="s">
        <v>113</v>
      </c>
      <c r="F12" s="7" t="s">
        <v>114</v>
      </c>
      <c r="G12" s="6" t="s">
        <v>115</v>
      </c>
    </row>
    <row r="13" spans="1:7" s="65" customFormat="1" ht="24.75" customHeight="1" x14ac:dyDescent="0.25">
      <c r="A13" s="135" t="s">
        <v>116</v>
      </c>
      <c r="B13" s="136"/>
      <c r="C13" s="136"/>
      <c r="D13" s="136"/>
      <c r="E13" s="136"/>
      <c r="F13" s="136"/>
      <c r="G13" s="137"/>
    </row>
    <row r="14" spans="1:7" ht="127.5" customHeight="1" x14ac:dyDescent="0.25">
      <c r="A14" s="62">
        <v>6</v>
      </c>
      <c r="B14" s="69" t="s">
        <v>52</v>
      </c>
      <c r="C14" s="68" t="s">
        <v>117</v>
      </c>
      <c r="D14" s="6" t="s">
        <v>118</v>
      </c>
      <c r="E14" s="7" t="s">
        <v>119</v>
      </c>
      <c r="F14" s="6" t="s">
        <v>120</v>
      </c>
      <c r="G14" s="6" t="s">
        <v>121</v>
      </c>
    </row>
    <row r="15" spans="1:7" ht="127.5" customHeight="1" x14ac:dyDescent="0.25">
      <c r="A15" s="62">
        <v>7</v>
      </c>
      <c r="B15" s="69" t="s">
        <v>122</v>
      </c>
      <c r="C15" s="68" t="s">
        <v>107</v>
      </c>
      <c r="D15" s="6" t="s">
        <v>147</v>
      </c>
      <c r="E15" s="7" t="s">
        <v>119</v>
      </c>
      <c r="F15" s="6" t="s">
        <v>120</v>
      </c>
      <c r="G15" s="6" t="s">
        <v>121</v>
      </c>
    </row>
    <row r="16" spans="1:7" ht="90.75" customHeight="1" x14ac:dyDescent="0.25">
      <c r="A16" s="62">
        <v>8</v>
      </c>
      <c r="B16" s="67" t="s">
        <v>123</v>
      </c>
      <c r="C16" s="68" t="s">
        <v>107</v>
      </c>
      <c r="D16" s="6" t="s">
        <v>146</v>
      </c>
      <c r="E16" s="7" t="s">
        <v>119</v>
      </c>
      <c r="F16" s="6" t="s">
        <v>120</v>
      </c>
      <c r="G16" s="6" t="s">
        <v>124</v>
      </c>
    </row>
    <row r="17" spans="1:7" ht="99" customHeight="1" x14ac:dyDescent="0.25">
      <c r="A17" s="62">
        <v>9</v>
      </c>
      <c r="B17" s="67" t="s">
        <v>58</v>
      </c>
      <c r="C17" s="68" t="s">
        <v>25</v>
      </c>
      <c r="D17" s="6" t="s">
        <v>146</v>
      </c>
      <c r="E17" s="7" t="s">
        <v>125</v>
      </c>
      <c r="F17" s="6" t="s">
        <v>120</v>
      </c>
      <c r="G17" s="6" t="s">
        <v>126</v>
      </c>
    </row>
    <row r="18" spans="1:7" ht="99" customHeight="1" x14ac:dyDescent="0.25">
      <c r="A18" s="62">
        <v>10</v>
      </c>
      <c r="B18" s="67" t="s">
        <v>61</v>
      </c>
      <c r="C18" s="68" t="s">
        <v>107</v>
      </c>
      <c r="D18" s="6" t="s">
        <v>145</v>
      </c>
      <c r="E18" s="7" t="s">
        <v>127</v>
      </c>
      <c r="F18" s="6" t="s">
        <v>128</v>
      </c>
      <c r="G18" s="6" t="s">
        <v>129</v>
      </c>
    </row>
    <row r="19" spans="1:7" s="65" customFormat="1" ht="91.5" customHeight="1" x14ac:dyDescent="0.25">
      <c r="A19" s="62">
        <v>11</v>
      </c>
      <c r="B19" s="67" t="s">
        <v>87</v>
      </c>
      <c r="C19" s="68" t="s">
        <v>88</v>
      </c>
      <c r="D19" s="6" t="s">
        <v>148</v>
      </c>
      <c r="E19" s="7" t="s">
        <v>149</v>
      </c>
      <c r="F19" s="6" t="s">
        <v>150</v>
      </c>
      <c r="G19" s="6" t="s">
        <v>151</v>
      </c>
    </row>
    <row r="20" spans="1:7" s="65" customFormat="1" ht="24.75" customHeight="1" x14ac:dyDescent="0.25">
      <c r="A20" s="135" t="s">
        <v>65</v>
      </c>
      <c r="B20" s="136"/>
      <c r="C20" s="136"/>
      <c r="D20" s="136"/>
      <c r="E20" s="136"/>
      <c r="F20" s="136"/>
      <c r="G20" s="137"/>
    </row>
    <row r="21" spans="1:7" s="65" customFormat="1" ht="24.75" customHeight="1" x14ac:dyDescent="0.25">
      <c r="A21" s="135" t="s">
        <v>130</v>
      </c>
      <c r="B21" s="136"/>
      <c r="C21" s="136"/>
      <c r="D21" s="136"/>
      <c r="E21" s="136"/>
      <c r="F21" s="136"/>
      <c r="G21" s="137"/>
    </row>
    <row r="22" spans="1:7" ht="154.5" customHeight="1" x14ac:dyDescent="0.25">
      <c r="A22" s="70">
        <v>12</v>
      </c>
      <c r="B22" s="66" t="s">
        <v>131</v>
      </c>
      <c r="C22" s="6" t="s">
        <v>132</v>
      </c>
      <c r="D22" s="6" t="s">
        <v>146</v>
      </c>
      <c r="E22" s="7" t="s">
        <v>133</v>
      </c>
      <c r="F22" s="68" t="s">
        <v>134</v>
      </c>
      <c r="G22" s="7" t="s">
        <v>135</v>
      </c>
    </row>
    <row r="23" spans="1:7" ht="173.25" customHeight="1" x14ac:dyDescent="0.25">
      <c r="A23" s="70">
        <v>13</v>
      </c>
      <c r="B23" s="66" t="s">
        <v>74</v>
      </c>
      <c r="C23" s="68" t="s">
        <v>107</v>
      </c>
      <c r="D23" s="6" t="s">
        <v>146</v>
      </c>
      <c r="E23" s="7" t="s">
        <v>136</v>
      </c>
      <c r="F23" s="68" t="s">
        <v>134</v>
      </c>
      <c r="G23" s="7" t="s">
        <v>137</v>
      </c>
    </row>
    <row r="24" spans="1:7" ht="24.75" customHeight="1" x14ac:dyDescent="0.25">
      <c r="A24" s="135" t="s">
        <v>138</v>
      </c>
      <c r="B24" s="136"/>
      <c r="C24" s="136"/>
      <c r="D24" s="136"/>
      <c r="E24" s="136"/>
      <c r="F24" s="136"/>
      <c r="G24" s="137"/>
    </row>
    <row r="25" spans="1:7" ht="111" customHeight="1" x14ac:dyDescent="0.25">
      <c r="A25" s="70">
        <v>14</v>
      </c>
      <c r="B25" s="66" t="s">
        <v>139</v>
      </c>
      <c r="C25" s="68" t="s">
        <v>140</v>
      </c>
      <c r="D25" s="6" t="s">
        <v>146</v>
      </c>
      <c r="E25" s="7" t="s">
        <v>141</v>
      </c>
      <c r="F25" s="6" t="s">
        <v>120</v>
      </c>
      <c r="G25" s="7" t="s">
        <v>142</v>
      </c>
    </row>
    <row r="26" spans="1:7" ht="129.75" customHeight="1" x14ac:dyDescent="0.25">
      <c r="A26" s="70">
        <v>15</v>
      </c>
      <c r="B26" s="66" t="s">
        <v>80</v>
      </c>
      <c r="C26" s="7" t="s">
        <v>82</v>
      </c>
      <c r="D26" s="6" t="s">
        <v>146</v>
      </c>
      <c r="E26" s="7" t="s">
        <v>143</v>
      </c>
      <c r="F26" s="6" t="s">
        <v>120</v>
      </c>
      <c r="G26" s="7" t="s">
        <v>144</v>
      </c>
    </row>
  </sheetData>
  <mergeCells count="9">
    <mergeCell ref="A20:G20"/>
    <mergeCell ref="A21:G21"/>
    <mergeCell ref="A24:G24"/>
    <mergeCell ref="A1:G1"/>
    <mergeCell ref="A2:G2"/>
    <mergeCell ref="A5:G5"/>
    <mergeCell ref="A6:G6"/>
    <mergeCell ref="A7:G7"/>
    <mergeCell ref="A13:G13"/>
  </mergeCells>
  <pageMargins left="0.39370078740157483" right="0.19685039370078741" top="0.31496062992125984" bottom="0.31496062992125984" header="0.31496062992125984" footer="0.31496062992125984"/>
  <pageSetup paperSize="9" scale="46" fitToHeight="10" orientation="landscape" r:id="rId1"/>
  <headerFooter differentFirst="1"/>
  <rowBreaks count="1" manualBreakCount="1">
    <brk id="2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04"/>
  <sheetViews>
    <sheetView showGridLines="0" view="pageBreakPreview" topLeftCell="A2" zoomScale="70" zoomScaleNormal="70" zoomScaleSheetLayoutView="70" zoomScalePageLayoutView="80" workbookViewId="0">
      <selection activeCell="Q85" sqref="Q85"/>
    </sheetView>
  </sheetViews>
  <sheetFormatPr defaultRowHeight="43.5" customHeight="1" x14ac:dyDescent="0.25"/>
  <cols>
    <col min="1" max="1" width="20.42578125" style="106" customWidth="1"/>
    <col min="2" max="2" width="56" style="106" customWidth="1"/>
    <col min="3" max="3" width="45.42578125" style="107" customWidth="1"/>
    <col min="4" max="4" width="11.140625" style="108" bestFit="1" customWidth="1"/>
    <col min="5" max="5" width="11.140625" style="109" bestFit="1" customWidth="1"/>
    <col min="6" max="6" width="11.140625" style="110" bestFit="1" customWidth="1"/>
    <col min="7" max="8" width="11.140625" style="108" bestFit="1" customWidth="1"/>
    <col min="9" max="12" width="11.140625" style="110" bestFit="1" customWidth="1"/>
    <col min="13" max="13" width="11.140625" style="110" customWidth="1"/>
    <col min="14" max="14" width="13" style="109" bestFit="1" customWidth="1"/>
    <col min="15" max="15" width="16.140625" style="75" customWidth="1"/>
    <col min="16" max="16" width="15.140625" style="75" bestFit="1" customWidth="1"/>
    <col min="17" max="17" width="16.42578125" style="75" bestFit="1" customWidth="1"/>
    <col min="18" max="18" width="19.5703125" style="75" customWidth="1"/>
    <col min="19" max="19" width="16.42578125" style="75" bestFit="1" customWidth="1"/>
    <col min="20" max="20" width="18.28515625" style="75" bestFit="1" customWidth="1"/>
    <col min="21" max="16384" width="9.140625" style="75"/>
  </cols>
  <sheetData>
    <row r="1" spans="1:18" ht="21.75" hidden="1" customHeight="1" x14ac:dyDescent="0.25">
      <c r="A1" s="145" t="s">
        <v>155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8" s="73" customFormat="1" ht="33" customHeight="1" x14ac:dyDescent="0.25">
      <c r="A2" s="146" t="s">
        <v>156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8" ht="84.75" customHeight="1" x14ac:dyDescent="0.25">
      <c r="A3" s="147" t="s">
        <v>157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8" ht="32.25" customHeight="1" x14ac:dyDescent="0.25">
      <c r="A4" s="149" t="s">
        <v>158</v>
      </c>
      <c r="B4" s="150" t="s">
        <v>159</v>
      </c>
      <c r="C4" s="151" t="s">
        <v>160</v>
      </c>
      <c r="D4" s="151" t="s">
        <v>161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8" ht="33.75" customHeight="1" x14ac:dyDescent="0.25">
      <c r="A5" s="149"/>
      <c r="B5" s="150"/>
      <c r="C5" s="151"/>
      <c r="D5" s="76">
        <v>2018</v>
      </c>
      <c r="E5" s="77">
        <v>2019</v>
      </c>
      <c r="F5" s="76">
        <v>2020</v>
      </c>
      <c r="G5" s="76">
        <v>2021</v>
      </c>
      <c r="H5" s="76">
        <v>2022</v>
      </c>
      <c r="I5" s="78">
        <v>2023</v>
      </c>
      <c r="J5" s="78" t="s">
        <v>207</v>
      </c>
      <c r="K5" s="78">
        <v>2025</v>
      </c>
      <c r="L5" s="78">
        <v>2026</v>
      </c>
      <c r="M5" s="78">
        <v>2027</v>
      </c>
      <c r="N5" s="79" t="s">
        <v>162</v>
      </c>
    </row>
    <row r="6" spans="1:18" ht="25.5" customHeight="1" x14ac:dyDescent="0.25">
      <c r="A6" s="80">
        <v>1</v>
      </c>
      <c r="B6" s="80">
        <v>2</v>
      </c>
      <c r="C6" s="81">
        <v>3</v>
      </c>
      <c r="D6" s="76">
        <v>4</v>
      </c>
      <c r="E6" s="77">
        <v>5</v>
      </c>
      <c r="F6" s="76">
        <v>6</v>
      </c>
      <c r="G6" s="76">
        <v>7</v>
      </c>
      <c r="H6" s="76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9">
        <v>14</v>
      </c>
    </row>
    <row r="7" spans="1:18" s="87" customFormat="1" ht="31.5" x14ac:dyDescent="0.25">
      <c r="A7" s="82" t="s">
        <v>163</v>
      </c>
      <c r="B7" s="82" t="s">
        <v>164</v>
      </c>
      <c r="C7" s="83" t="s">
        <v>165</v>
      </c>
      <c r="D7" s="84">
        <f>D8+D9+D10+D11+D12</f>
        <v>325542.69999999995</v>
      </c>
      <c r="E7" s="85">
        <f t="shared" ref="E7:M9" si="0">E13</f>
        <v>652832</v>
      </c>
      <c r="F7" s="84">
        <f t="shared" si="0"/>
        <v>469831.70000000007</v>
      </c>
      <c r="G7" s="84">
        <f t="shared" si="0"/>
        <v>459550.80000000005</v>
      </c>
      <c r="H7" s="84">
        <f t="shared" si="0"/>
        <v>601538.6</v>
      </c>
      <c r="I7" s="85">
        <f>I13+I85</f>
        <v>631899.9</v>
      </c>
      <c r="J7" s="85">
        <f t="shared" si="0"/>
        <v>812546.29999999993</v>
      </c>
      <c r="K7" s="85">
        <f t="shared" si="0"/>
        <v>669822.5</v>
      </c>
      <c r="L7" s="85">
        <f t="shared" si="0"/>
        <v>561002.19999999995</v>
      </c>
      <c r="M7" s="85">
        <f t="shared" si="0"/>
        <v>572248.30000000005</v>
      </c>
      <c r="N7" s="84">
        <f>N13+N85</f>
        <v>5756815</v>
      </c>
      <c r="O7" s="86"/>
      <c r="P7" s="86"/>
      <c r="Q7" s="86"/>
      <c r="R7" s="86"/>
    </row>
    <row r="8" spans="1:18" s="90" customFormat="1" ht="27.75" customHeight="1" x14ac:dyDescent="0.25">
      <c r="A8" s="88"/>
      <c r="B8" s="88"/>
      <c r="C8" s="89" t="s">
        <v>166</v>
      </c>
      <c r="D8" s="84">
        <f>D14</f>
        <v>34662.699999999997</v>
      </c>
      <c r="E8" s="85">
        <f t="shared" si="0"/>
        <v>83096.08</v>
      </c>
      <c r="F8" s="84">
        <f>F14</f>
        <v>89216.1</v>
      </c>
      <c r="G8" s="84">
        <f t="shared" si="0"/>
        <v>76330.399999999994</v>
      </c>
      <c r="H8" s="84">
        <f>H14</f>
        <v>76818.399999999994</v>
      </c>
      <c r="I8" s="85">
        <f t="shared" si="0"/>
        <v>71194.5</v>
      </c>
      <c r="J8" s="85">
        <f>J14</f>
        <v>51756.800000000003</v>
      </c>
      <c r="K8" s="85">
        <f t="shared" si="0"/>
        <v>0</v>
      </c>
      <c r="L8" s="85">
        <f>L14</f>
        <v>0</v>
      </c>
      <c r="M8" s="85">
        <f>M14</f>
        <v>0</v>
      </c>
      <c r="N8" s="84">
        <f>N14</f>
        <v>483074.98000000004</v>
      </c>
      <c r="P8" s="86"/>
    </row>
    <row r="9" spans="1:18" s="90" customFormat="1" ht="27.75" customHeight="1" x14ac:dyDescent="0.25">
      <c r="A9" s="88"/>
      <c r="B9" s="88"/>
      <c r="C9" s="89" t="s">
        <v>167</v>
      </c>
      <c r="D9" s="84">
        <f t="shared" ref="D9:H10" si="1">D15+D87</f>
        <v>41675.200000000004</v>
      </c>
      <c r="E9" s="85">
        <f t="shared" si="1"/>
        <v>200484.72</v>
      </c>
      <c r="F9" s="84">
        <f t="shared" si="1"/>
        <v>55427</v>
      </c>
      <c r="G9" s="84">
        <f t="shared" si="1"/>
        <v>55611.9</v>
      </c>
      <c r="H9" s="84">
        <f t="shared" si="1"/>
        <v>79353</v>
      </c>
      <c r="I9" s="85">
        <f>I15</f>
        <v>86733.6</v>
      </c>
      <c r="J9" s="85">
        <f>J15</f>
        <v>69535.899999999994</v>
      </c>
      <c r="K9" s="85">
        <f t="shared" si="0"/>
        <v>49058.6</v>
      </c>
      <c r="L9" s="85">
        <f t="shared" si="0"/>
        <v>27894.2</v>
      </c>
      <c r="M9" s="85">
        <f t="shared" si="0"/>
        <v>27894.2</v>
      </c>
      <c r="N9" s="84">
        <f>N15+N87</f>
        <v>693668.32</v>
      </c>
      <c r="P9" s="86"/>
    </row>
    <row r="10" spans="1:18" s="90" customFormat="1" ht="27.75" customHeight="1" x14ac:dyDescent="0.25">
      <c r="A10" s="88"/>
      <c r="B10" s="88"/>
      <c r="C10" s="89" t="s">
        <v>168</v>
      </c>
      <c r="D10" s="84">
        <f t="shared" si="1"/>
        <v>249204.8</v>
      </c>
      <c r="E10" s="85">
        <f t="shared" si="1"/>
        <v>369251.20000000007</v>
      </c>
      <c r="F10" s="84">
        <f t="shared" si="1"/>
        <v>324385.2</v>
      </c>
      <c r="G10" s="84">
        <f t="shared" si="1"/>
        <v>326537.50000000006</v>
      </c>
      <c r="H10" s="84">
        <f t="shared" si="1"/>
        <v>442908.60000000003</v>
      </c>
      <c r="I10" s="85">
        <f>I16+I88</f>
        <v>473521.10000000003</v>
      </c>
      <c r="J10" s="85">
        <f>J16+J88</f>
        <v>691228.6</v>
      </c>
      <c r="K10" s="85">
        <f>K16+K88</f>
        <v>620763.9</v>
      </c>
      <c r="L10" s="85">
        <f>L16+L88</f>
        <v>533108</v>
      </c>
      <c r="M10" s="85">
        <f>M16+M88</f>
        <v>544354.10000000009</v>
      </c>
      <c r="N10" s="84">
        <f>N16+N88</f>
        <v>4575263</v>
      </c>
      <c r="P10" s="86"/>
    </row>
    <row r="11" spans="1:18" s="90" customFormat="1" ht="27.75" customHeight="1" x14ac:dyDescent="0.25">
      <c r="A11" s="88"/>
      <c r="B11" s="88"/>
      <c r="C11" s="89" t="s">
        <v>169</v>
      </c>
      <c r="D11" s="84">
        <f t="shared" ref="D11:N12" si="2">D17</f>
        <v>0</v>
      </c>
      <c r="E11" s="85">
        <f t="shared" si="2"/>
        <v>0</v>
      </c>
      <c r="F11" s="84">
        <f t="shared" si="2"/>
        <v>0</v>
      </c>
      <c r="G11" s="84">
        <f t="shared" si="2"/>
        <v>0</v>
      </c>
      <c r="H11" s="84">
        <f t="shared" si="2"/>
        <v>0</v>
      </c>
      <c r="I11" s="85">
        <f t="shared" si="2"/>
        <v>0</v>
      </c>
      <c r="J11" s="85">
        <f t="shared" si="2"/>
        <v>0</v>
      </c>
      <c r="K11" s="85">
        <f t="shared" si="2"/>
        <v>0</v>
      </c>
      <c r="L11" s="85">
        <f t="shared" si="2"/>
        <v>0</v>
      </c>
      <c r="M11" s="85">
        <f t="shared" si="2"/>
        <v>0</v>
      </c>
      <c r="N11" s="84">
        <f t="shared" si="2"/>
        <v>0</v>
      </c>
      <c r="P11" s="86"/>
    </row>
    <row r="12" spans="1:18" s="90" customFormat="1" ht="27.75" customHeight="1" x14ac:dyDescent="0.25">
      <c r="A12" s="88"/>
      <c r="B12" s="88"/>
      <c r="C12" s="89" t="s">
        <v>170</v>
      </c>
      <c r="D12" s="84">
        <f t="shared" si="2"/>
        <v>0</v>
      </c>
      <c r="E12" s="85">
        <f t="shared" si="2"/>
        <v>0</v>
      </c>
      <c r="F12" s="84">
        <f>F18</f>
        <v>803.4</v>
      </c>
      <c r="G12" s="84">
        <f>G18</f>
        <v>1071</v>
      </c>
      <c r="H12" s="84">
        <f t="shared" si="2"/>
        <v>2458.6</v>
      </c>
      <c r="I12" s="85">
        <f t="shared" si="2"/>
        <v>450.70000000000005</v>
      </c>
      <c r="J12" s="85">
        <f t="shared" si="2"/>
        <v>25</v>
      </c>
      <c r="K12" s="85">
        <f t="shared" si="2"/>
        <v>0</v>
      </c>
      <c r="L12" s="85">
        <f t="shared" si="2"/>
        <v>0</v>
      </c>
      <c r="M12" s="85">
        <f t="shared" si="2"/>
        <v>0</v>
      </c>
      <c r="N12" s="84">
        <f>N18</f>
        <v>4808.7</v>
      </c>
      <c r="P12" s="86"/>
    </row>
    <row r="13" spans="1:18" s="90" customFormat="1" ht="22.5" customHeight="1" x14ac:dyDescent="0.25">
      <c r="A13" s="88" t="s">
        <v>171</v>
      </c>
      <c r="B13" s="88" t="s">
        <v>172</v>
      </c>
      <c r="C13" s="91" t="s">
        <v>165</v>
      </c>
      <c r="D13" s="92">
        <f t="shared" ref="D13:J13" si="3">D14+D15+D16+D17+D18</f>
        <v>325336</v>
      </c>
      <c r="E13" s="92">
        <f t="shared" si="3"/>
        <v>652832</v>
      </c>
      <c r="F13" s="92">
        <f t="shared" si="3"/>
        <v>469831.70000000007</v>
      </c>
      <c r="G13" s="92">
        <f t="shared" si="3"/>
        <v>459550.80000000005</v>
      </c>
      <c r="H13" s="92">
        <f t="shared" si="3"/>
        <v>601538.6</v>
      </c>
      <c r="I13" s="93">
        <f t="shared" si="3"/>
        <v>631844.9</v>
      </c>
      <c r="J13" s="93">
        <f t="shared" si="3"/>
        <v>812546.29999999993</v>
      </c>
      <c r="K13" s="85">
        <f>K14+K15+K16+K17+K18</f>
        <v>669822.5</v>
      </c>
      <c r="L13" s="85">
        <f>L14+L15+L16+L17+L18</f>
        <v>561002.19999999995</v>
      </c>
      <c r="M13" s="85">
        <f>M14+M15+M16+M17+M18</f>
        <v>572248.30000000005</v>
      </c>
      <c r="N13" s="92">
        <f>N14+N15+N16+N17+N18</f>
        <v>5756553.2999999998</v>
      </c>
    </row>
    <row r="14" spans="1:18" s="90" customFormat="1" ht="30" customHeight="1" x14ac:dyDescent="0.25">
      <c r="A14" s="88"/>
      <c r="B14" s="88"/>
      <c r="C14" s="91" t="s">
        <v>166</v>
      </c>
      <c r="D14" s="92">
        <f t="shared" ref="D14:G18" si="4">D20+D26+D32+D44+D50+D62+D68</f>
        <v>34662.699999999997</v>
      </c>
      <c r="E14" s="92">
        <f t="shared" si="4"/>
        <v>83096.08</v>
      </c>
      <c r="F14" s="92">
        <f t="shared" si="4"/>
        <v>89216.1</v>
      </c>
      <c r="G14" s="92">
        <f t="shared" si="4"/>
        <v>76330.399999999994</v>
      </c>
      <c r="H14" s="92">
        <f>H20+H26+H32+H44+H56+H62+H68</f>
        <v>76818.399999999994</v>
      </c>
      <c r="I14" s="93">
        <f t="shared" ref="I14:J18" si="5">I20+I26+I32+I44+I56+I62+I68+I74</f>
        <v>71194.5</v>
      </c>
      <c r="J14" s="93">
        <f t="shared" si="5"/>
        <v>51756.800000000003</v>
      </c>
      <c r="K14" s="85">
        <f>K20+K26+K32+K44+K56+K62+K68+K74+K80</f>
        <v>0</v>
      </c>
      <c r="L14" s="85">
        <f t="shared" ref="L14:M14" si="6">L20+L26+L32+L44+L56+L62+L68+L74+L80</f>
        <v>0</v>
      </c>
      <c r="M14" s="85">
        <f t="shared" si="6"/>
        <v>0</v>
      </c>
      <c r="N14" s="92">
        <f>SUM(D14:M14)</f>
        <v>483074.98000000004</v>
      </c>
    </row>
    <row r="15" spans="1:18" s="90" customFormat="1" ht="30" customHeight="1" x14ac:dyDescent="0.25">
      <c r="A15" s="88"/>
      <c r="B15" s="88"/>
      <c r="C15" s="91" t="s">
        <v>167</v>
      </c>
      <c r="D15" s="92">
        <f t="shared" si="4"/>
        <v>41589.9</v>
      </c>
      <c r="E15" s="92">
        <f t="shared" si="4"/>
        <v>200484.72</v>
      </c>
      <c r="F15" s="92">
        <f t="shared" si="4"/>
        <v>55427</v>
      </c>
      <c r="G15" s="92">
        <f t="shared" si="4"/>
        <v>55611.9</v>
      </c>
      <c r="H15" s="92">
        <f>H21+H27+H33+H45+H57+H63+H69</f>
        <v>79353</v>
      </c>
      <c r="I15" s="93">
        <f t="shared" si="5"/>
        <v>86733.6</v>
      </c>
      <c r="J15" s="93">
        <f t="shared" si="5"/>
        <v>69535.899999999994</v>
      </c>
      <c r="K15" s="85">
        <f t="shared" ref="K15:M18" si="7">K21+K27+K33+K45+K57+K63+K69+K75+K81</f>
        <v>49058.6</v>
      </c>
      <c r="L15" s="85">
        <f>L21+L27+L33+L45+L57+L63+L69+L75+L81</f>
        <v>27894.2</v>
      </c>
      <c r="M15" s="85">
        <f t="shared" si="7"/>
        <v>27894.2</v>
      </c>
      <c r="N15" s="92">
        <f t="shared" ref="N15:N18" si="8">SUM(D15:M15)</f>
        <v>693583.0199999999</v>
      </c>
    </row>
    <row r="16" spans="1:18" s="90" customFormat="1" ht="30" customHeight="1" x14ac:dyDescent="0.25">
      <c r="A16" s="88"/>
      <c r="B16" s="88"/>
      <c r="C16" s="91" t="s">
        <v>168</v>
      </c>
      <c r="D16" s="92">
        <f t="shared" si="4"/>
        <v>249083.4</v>
      </c>
      <c r="E16" s="92">
        <f t="shared" si="4"/>
        <v>369251.20000000007</v>
      </c>
      <c r="F16" s="92">
        <f t="shared" si="4"/>
        <v>324385.2</v>
      </c>
      <c r="G16" s="92">
        <f t="shared" si="4"/>
        <v>326537.50000000006</v>
      </c>
      <c r="H16" s="92">
        <f>H22+H28+H34+H46+H58+H64+H70</f>
        <v>442908.60000000003</v>
      </c>
      <c r="I16" s="93">
        <f t="shared" si="5"/>
        <v>473466.10000000003</v>
      </c>
      <c r="J16" s="93">
        <f t="shared" si="5"/>
        <v>691228.6</v>
      </c>
      <c r="K16" s="85">
        <f>K22+K28+K34+K46+K58+K64+K70+K76+K82</f>
        <v>620763.9</v>
      </c>
      <c r="L16" s="85">
        <f t="shared" si="7"/>
        <v>533108</v>
      </c>
      <c r="M16" s="85">
        <f t="shared" si="7"/>
        <v>544354.10000000009</v>
      </c>
      <c r="N16" s="92">
        <f t="shared" si="8"/>
        <v>4575086.5999999996</v>
      </c>
    </row>
    <row r="17" spans="1:15" s="90" customFormat="1" ht="30" customHeight="1" x14ac:dyDescent="0.25">
      <c r="A17" s="88"/>
      <c r="B17" s="88"/>
      <c r="C17" s="91" t="s">
        <v>173</v>
      </c>
      <c r="D17" s="92">
        <f t="shared" si="4"/>
        <v>0</v>
      </c>
      <c r="E17" s="92">
        <f t="shared" si="4"/>
        <v>0</v>
      </c>
      <c r="F17" s="92">
        <f t="shared" si="4"/>
        <v>0</v>
      </c>
      <c r="G17" s="92">
        <f t="shared" si="4"/>
        <v>0</v>
      </c>
      <c r="H17" s="92">
        <f>H23+H29+H35+H47+H59+H65+H71</f>
        <v>0</v>
      </c>
      <c r="I17" s="93">
        <f t="shared" si="5"/>
        <v>0</v>
      </c>
      <c r="J17" s="93">
        <f t="shared" si="5"/>
        <v>0</v>
      </c>
      <c r="K17" s="85">
        <f t="shared" si="7"/>
        <v>0</v>
      </c>
      <c r="L17" s="85">
        <f t="shared" si="7"/>
        <v>0</v>
      </c>
      <c r="M17" s="85">
        <f t="shared" si="7"/>
        <v>0</v>
      </c>
      <c r="N17" s="92">
        <f t="shared" si="8"/>
        <v>0</v>
      </c>
    </row>
    <row r="18" spans="1:15" s="90" customFormat="1" ht="30" customHeight="1" x14ac:dyDescent="0.25">
      <c r="A18" s="88"/>
      <c r="B18" s="88"/>
      <c r="C18" s="91" t="s">
        <v>170</v>
      </c>
      <c r="D18" s="92">
        <f t="shared" si="4"/>
        <v>0</v>
      </c>
      <c r="E18" s="92">
        <f t="shared" si="4"/>
        <v>0</v>
      </c>
      <c r="F18" s="92">
        <f t="shared" si="4"/>
        <v>803.4</v>
      </c>
      <c r="G18" s="92">
        <f t="shared" si="4"/>
        <v>1071</v>
      </c>
      <c r="H18" s="92">
        <f>H24+H30+H36+H48+H60+H66+H72</f>
        <v>2458.6</v>
      </c>
      <c r="I18" s="93">
        <f t="shared" si="5"/>
        <v>450.70000000000005</v>
      </c>
      <c r="J18" s="93">
        <f t="shared" si="5"/>
        <v>25</v>
      </c>
      <c r="K18" s="85">
        <f t="shared" si="7"/>
        <v>0</v>
      </c>
      <c r="L18" s="85">
        <f t="shared" si="7"/>
        <v>0</v>
      </c>
      <c r="M18" s="85">
        <f t="shared" si="7"/>
        <v>0</v>
      </c>
      <c r="N18" s="92">
        <f t="shared" si="8"/>
        <v>4808.7</v>
      </c>
    </row>
    <row r="19" spans="1:15" s="90" customFormat="1" ht="30" customHeight="1" x14ac:dyDescent="0.25">
      <c r="A19" s="88" t="s">
        <v>174</v>
      </c>
      <c r="B19" s="143" t="s">
        <v>175</v>
      </c>
      <c r="C19" s="91" t="s">
        <v>165</v>
      </c>
      <c r="D19" s="92">
        <f t="shared" ref="D19:I19" si="9">SUM(D20:D24)</f>
        <v>132065.20000000001</v>
      </c>
      <c r="E19" s="92">
        <f t="shared" si="9"/>
        <v>359423.7</v>
      </c>
      <c r="F19" s="92">
        <f t="shared" si="9"/>
        <v>130054.3</v>
      </c>
      <c r="G19" s="92">
        <f t="shared" si="9"/>
        <v>142463.6</v>
      </c>
      <c r="H19" s="92">
        <f t="shared" si="9"/>
        <v>169560.6</v>
      </c>
      <c r="I19" s="93">
        <f t="shared" si="9"/>
        <v>189986.7</v>
      </c>
      <c r="J19" s="93">
        <f>SUM(J20:J24)</f>
        <v>209491.5</v>
      </c>
      <c r="K19" s="85">
        <f>SUM(K20:K24)</f>
        <v>252401.2</v>
      </c>
      <c r="L19" s="85">
        <f>SUM(L20:L24)</f>
        <v>251794.7</v>
      </c>
      <c r="M19" s="85">
        <f>SUM(M20:M24)</f>
        <v>251173.5</v>
      </c>
      <c r="N19" s="92">
        <f>SUM(D19:M19)</f>
        <v>2088415</v>
      </c>
      <c r="O19" s="90">
        <v>1</v>
      </c>
    </row>
    <row r="20" spans="1:15" s="90" customFormat="1" ht="30" customHeight="1" x14ac:dyDescent="0.25">
      <c r="A20" s="88"/>
      <c r="B20" s="144"/>
      <c r="C20" s="91" t="s">
        <v>166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3">
        <v>0</v>
      </c>
      <c r="J20" s="93">
        <v>0</v>
      </c>
      <c r="K20" s="85">
        <v>0</v>
      </c>
      <c r="L20" s="85">
        <v>0</v>
      </c>
      <c r="M20" s="85">
        <v>0</v>
      </c>
      <c r="N20" s="92">
        <f t="shared" ref="N20:N24" si="10">SUM(D20:M20)</f>
        <v>0</v>
      </c>
    </row>
    <row r="21" spans="1:15" s="90" customFormat="1" ht="30" customHeight="1" x14ac:dyDescent="0.25">
      <c r="A21" s="88"/>
      <c r="B21" s="88"/>
      <c r="C21" s="91" t="s">
        <v>167</v>
      </c>
      <c r="D21" s="92">
        <v>25000</v>
      </c>
      <c r="E21" s="92">
        <v>150140</v>
      </c>
      <c r="F21" s="92">
        <v>4000</v>
      </c>
      <c r="G21" s="92">
        <v>0</v>
      </c>
      <c r="H21" s="92">
        <v>0</v>
      </c>
      <c r="I21" s="93">
        <v>0</v>
      </c>
      <c r="J21" s="93">
        <v>0</v>
      </c>
      <c r="K21" s="85">
        <v>0</v>
      </c>
      <c r="L21" s="85">
        <v>0</v>
      </c>
      <c r="M21" s="85">
        <v>0</v>
      </c>
      <c r="N21" s="92">
        <f t="shared" si="10"/>
        <v>179140</v>
      </c>
    </row>
    <row r="22" spans="1:15" s="90" customFormat="1" ht="30" customHeight="1" x14ac:dyDescent="0.25">
      <c r="A22" s="88"/>
      <c r="B22" s="88"/>
      <c r="C22" s="91" t="s">
        <v>168</v>
      </c>
      <c r="D22" s="92">
        <v>107065.2</v>
      </c>
      <c r="E22" s="92">
        <v>209283.7</v>
      </c>
      <c r="F22" s="92">
        <v>126054.3</v>
      </c>
      <c r="G22" s="92">
        <v>142463.6</v>
      </c>
      <c r="H22" s="92">
        <v>169560.6</v>
      </c>
      <c r="I22" s="93">
        <f>189986.7-426.6</f>
        <v>189560.1</v>
      </c>
      <c r="J22" s="93">
        <f>209491.5-6</f>
        <v>209485.5</v>
      </c>
      <c r="K22" s="85">
        <v>252401.2</v>
      </c>
      <c r="L22" s="85">
        <v>251794.7</v>
      </c>
      <c r="M22" s="85">
        <v>251173.5</v>
      </c>
      <c r="N22" s="92">
        <f t="shared" si="10"/>
        <v>1908842.4</v>
      </c>
    </row>
    <row r="23" spans="1:15" s="90" customFormat="1" ht="30" customHeight="1" x14ac:dyDescent="0.25">
      <c r="A23" s="88"/>
      <c r="B23" s="88"/>
      <c r="C23" s="91" t="s">
        <v>173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3">
        <v>0</v>
      </c>
      <c r="J23" s="93">
        <v>0</v>
      </c>
      <c r="K23" s="85">
        <v>0</v>
      </c>
      <c r="L23" s="85">
        <v>0</v>
      </c>
      <c r="M23" s="85">
        <v>0</v>
      </c>
      <c r="N23" s="92">
        <f t="shared" si="10"/>
        <v>0</v>
      </c>
    </row>
    <row r="24" spans="1:15" s="90" customFormat="1" ht="30" customHeight="1" x14ac:dyDescent="0.25">
      <c r="A24" s="88"/>
      <c r="B24" s="88"/>
      <c r="C24" s="91" t="s">
        <v>170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3">
        <v>426.6</v>
      </c>
      <c r="J24" s="93">
        <v>6</v>
      </c>
      <c r="K24" s="85">
        <v>0</v>
      </c>
      <c r="L24" s="85">
        <v>0</v>
      </c>
      <c r="M24" s="85">
        <v>0</v>
      </c>
      <c r="N24" s="92">
        <f t="shared" si="10"/>
        <v>432.6</v>
      </c>
    </row>
    <row r="25" spans="1:15" s="90" customFormat="1" ht="30" customHeight="1" x14ac:dyDescent="0.25">
      <c r="A25" s="88" t="s">
        <v>176</v>
      </c>
      <c r="B25" s="143" t="s">
        <v>177</v>
      </c>
      <c r="C25" s="91" t="s">
        <v>165</v>
      </c>
      <c r="D25" s="92">
        <f t="shared" ref="D25:J25" si="11">SUM(D26:D30)</f>
        <v>1434.4</v>
      </c>
      <c r="E25" s="92">
        <f t="shared" si="11"/>
        <v>714.4</v>
      </c>
      <c r="F25" s="92">
        <f t="shared" si="11"/>
        <v>3547.4</v>
      </c>
      <c r="G25" s="92">
        <f t="shared" si="11"/>
        <v>2557.8000000000002</v>
      </c>
      <c r="H25" s="92">
        <f t="shared" si="11"/>
        <v>1548</v>
      </c>
      <c r="I25" s="93">
        <f t="shared" si="11"/>
        <v>1847.1</v>
      </c>
      <c r="J25" s="93">
        <f t="shared" si="11"/>
        <v>2075.9</v>
      </c>
      <c r="K25" s="85">
        <f>SUM(K26:K30)</f>
        <v>1108.2</v>
      </c>
      <c r="L25" s="85">
        <f>SUM(L26:L30)</f>
        <v>894.2</v>
      </c>
      <c r="M25" s="85">
        <f>SUM(M26:M30)</f>
        <v>894.2</v>
      </c>
      <c r="N25" s="92">
        <f>SUM(D25:M25)</f>
        <v>16621.600000000002</v>
      </c>
      <c r="O25" s="90">
        <v>2</v>
      </c>
    </row>
    <row r="26" spans="1:15" s="90" customFormat="1" ht="30" customHeight="1" x14ac:dyDescent="0.25">
      <c r="A26" s="88"/>
      <c r="B26" s="144"/>
      <c r="C26" s="91" t="s">
        <v>166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3">
        <v>0</v>
      </c>
      <c r="J26" s="93">
        <v>0</v>
      </c>
      <c r="K26" s="85">
        <v>0</v>
      </c>
      <c r="L26" s="85">
        <v>0</v>
      </c>
      <c r="M26" s="85">
        <v>0</v>
      </c>
      <c r="N26" s="92">
        <f t="shared" ref="N26:N30" si="12">SUM(D26:M26)</f>
        <v>0</v>
      </c>
    </row>
    <row r="27" spans="1:15" s="90" customFormat="1" ht="30" customHeight="1" x14ac:dyDescent="0.25">
      <c r="A27" s="88"/>
      <c r="B27" s="88"/>
      <c r="C27" s="91" t="s">
        <v>167</v>
      </c>
      <c r="D27" s="92">
        <v>1434.4</v>
      </c>
      <c r="E27" s="92">
        <v>714.4</v>
      </c>
      <c r="F27" s="92">
        <v>3547.4</v>
      </c>
      <c r="G27" s="92">
        <v>2557.8000000000002</v>
      </c>
      <c r="H27" s="92">
        <v>1548</v>
      </c>
      <c r="I27" s="93">
        <v>1847.1</v>
      </c>
      <c r="J27" s="93">
        <v>2075.9</v>
      </c>
      <c r="K27" s="85">
        <v>1108.2</v>
      </c>
      <c r="L27" s="85">
        <v>894.2</v>
      </c>
      <c r="M27" s="85">
        <v>894.2</v>
      </c>
      <c r="N27" s="92">
        <f t="shared" si="12"/>
        <v>16621.600000000002</v>
      </c>
    </row>
    <row r="28" spans="1:15" s="90" customFormat="1" ht="30" customHeight="1" x14ac:dyDescent="0.25">
      <c r="A28" s="88"/>
      <c r="B28" s="88"/>
      <c r="C28" s="91" t="s">
        <v>168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3">
        <v>0</v>
      </c>
      <c r="J28" s="93">
        <v>0</v>
      </c>
      <c r="K28" s="85">
        <v>0</v>
      </c>
      <c r="L28" s="85">
        <v>0</v>
      </c>
      <c r="M28" s="85">
        <v>0</v>
      </c>
      <c r="N28" s="92">
        <f t="shared" si="12"/>
        <v>0</v>
      </c>
    </row>
    <row r="29" spans="1:15" s="90" customFormat="1" ht="30" customHeight="1" x14ac:dyDescent="0.25">
      <c r="A29" s="88"/>
      <c r="B29" s="88"/>
      <c r="C29" s="91" t="s">
        <v>173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3">
        <v>0</v>
      </c>
      <c r="J29" s="93">
        <v>0</v>
      </c>
      <c r="K29" s="85">
        <v>0</v>
      </c>
      <c r="L29" s="85">
        <v>0</v>
      </c>
      <c r="M29" s="85">
        <v>0</v>
      </c>
      <c r="N29" s="92">
        <f t="shared" si="12"/>
        <v>0</v>
      </c>
    </row>
    <row r="30" spans="1:15" s="90" customFormat="1" ht="30" customHeight="1" x14ac:dyDescent="0.25">
      <c r="A30" s="88"/>
      <c r="B30" s="88"/>
      <c r="C30" s="91" t="s">
        <v>170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3">
        <v>0</v>
      </c>
      <c r="J30" s="93">
        <v>0</v>
      </c>
      <c r="K30" s="85">
        <v>0</v>
      </c>
      <c r="L30" s="85">
        <v>0</v>
      </c>
      <c r="M30" s="85">
        <v>0</v>
      </c>
      <c r="N30" s="92">
        <f t="shared" si="12"/>
        <v>0</v>
      </c>
    </row>
    <row r="31" spans="1:15" s="90" customFormat="1" ht="30" customHeight="1" x14ac:dyDescent="0.25">
      <c r="A31" s="88" t="s">
        <v>178</v>
      </c>
      <c r="B31" s="88" t="s">
        <v>179</v>
      </c>
      <c r="C31" s="91" t="s">
        <v>165</v>
      </c>
      <c r="D31" s="92">
        <f t="shared" ref="D31:J31" si="13">SUM(D32:D36)</f>
        <v>16480.5</v>
      </c>
      <c r="E31" s="92">
        <f t="shared" si="13"/>
        <v>26351</v>
      </c>
      <c r="F31" s="92">
        <f t="shared" si="13"/>
        <v>27722.7</v>
      </c>
      <c r="G31" s="92">
        <f t="shared" si="13"/>
        <v>20856.099999999999</v>
      </c>
      <c r="H31" s="92">
        <f t="shared" si="13"/>
        <v>21850.2</v>
      </c>
      <c r="I31" s="93">
        <f t="shared" si="13"/>
        <v>23619</v>
      </c>
      <c r="J31" s="93">
        <f t="shared" si="13"/>
        <v>28281.5</v>
      </c>
      <c r="K31" s="85">
        <f>SUM(K32:K36)</f>
        <v>22751.1</v>
      </c>
      <c r="L31" s="85">
        <f>SUM(L32:L36)</f>
        <v>19210</v>
      </c>
      <c r="M31" s="85">
        <f>SUM(M32:M36)</f>
        <v>19210</v>
      </c>
      <c r="N31" s="92">
        <f>SUM(D31:M31)</f>
        <v>226332.1</v>
      </c>
      <c r="O31" s="90">
        <v>3</v>
      </c>
    </row>
    <row r="32" spans="1:15" s="90" customFormat="1" ht="30" customHeight="1" x14ac:dyDescent="0.25">
      <c r="A32" s="88"/>
      <c r="B32" s="88"/>
      <c r="C32" s="91" t="s">
        <v>166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3">
        <v>0</v>
      </c>
      <c r="J32" s="93">
        <v>0</v>
      </c>
      <c r="K32" s="85">
        <v>0</v>
      </c>
      <c r="L32" s="85">
        <v>0</v>
      </c>
      <c r="M32" s="85">
        <v>0</v>
      </c>
      <c r="N32" s="92">
        <f t="shared" ref="N32:N36" si="14">SUM(D32:M32)</f>
        <v>0</v>
      </c>
    </row>
    <row r="33" spans="1:15" s="90" customFormat="1" ht="30" customHeight="1" x14ac:dyDescent="0.25">
      <c r="A33" s="88"/>
      <c r="B33" s="88"/>
      <c r="C33" s="91" t="s">
        <v>167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3">
        <v>0</v>
      </c>
      <c r="J33" s="93">
        <v>0</v>
      </c>
      <c r="K33" s="85">
        <v>0</v>
      </c>
      <c r="L33" s="85">
        <v>0</v>
      </c>
      <c r="M33" s="85">
        <v>0</v>
      </c>
      <c r="N33" s="92">
        <f>SUM(D33:M33)</f>
        <v>0</v>
      </c>
    </row>
    <row r="34" spans="1:15" s="90" customFormat="1" ht="30" customHeight="1" x14ac:dyDescent="0.25">
      <c r="A34" s="88"/>
      <c r="B34" s="88"/>
      <c r="C34" s="91" t="s">
        <v>168</v>
      </c>
      <c r="D34" s="92">
        <v>16480.5</v>
      </c>
      <c r="E34" s="92">
        <v>26351</v>
      </c>
      <c r="F34" s="92">
        <v>27722.7</v>
      </c>
      <c r="G34" s="92">
        <v>20856.099999999999</v>
      </c>
      <c r="H34" s="92">
        <v>21850.2</v>
      </c>
      <c r="I34" s="93">
        <v>23619</v>
      </c>
      <c r="J34" s="93">
        <v>28281.5</v>
      </c>
      <c r="K34" s="85">
        <v>22751.1</v>
      </c>
      <c r="L34" s="85">
        <v>19210</v>
      </c>
      <c r="M34" s="85">
        <v>19210</v>
      </c>
      <c r="N34" s="92">
        <f t="shared" si="14"/>
        <v>226332.1</v>
      </c>
    </row>
    <row r="35" spans="1:15" s="90" customFormat="1" ht="30" customHeight="1" x14ac:dyDescent="0.25">
      <c r="A35" s="88"/>
      <c r="B35" s="88"/>
      <c r="C35" s="91" t="s">
        <v>180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3">
        <v>0</v>
      </c>
      <c r="J35" s="93">
        <v>0</v>
      </c>
      <c r="K35" s="85">
        <v>0</v>
      </c>
      <c r="L35" s="85">
        <v>0</v>
      </c>
      <c r="M35" s="85">
        <v>0</v>
      </c>
      <c r="N35" s="92">
        <f>SUM(D35:M35)</f>
        <v>0</v>
      </c>
    </row>
    <row r="36" spans="1:15" s="90" customFormat="1" ht="30" customHeight="1" x14ac:dyDescent="0.25">
      <c r="A36" s="88"/>
      <c r="B36" s="88"/>
      <c r="C36" s="91" t="s">
        <v>170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3">
        <v>0</v>
      </c>
      <c r="J36" s="93">
        <v>0</v>
      </c>
      <c r="K36" s="85">
        <v>0</v>
      </c>
      <c r="L36" s="85">
        <v>0</v>
      </c>
      <c r="M36" s="85">
        <v>0</v>
      </c>
      <c r="N36" s="92">
        <f t="shared" si="14"/>
        <v>0</v>
      </c>
    </row>
    <row r="37" spans="1:15" s="90" customFormat="1" ht="30" customHeight="1" x14ac:dyDescent="0.25">
      <c r="A37" s="88" t="s">
        <v>181</v>
      </c>
      <c r="B37" s="88" t="s">
        <v>182</v>
      </c>
      <c r="C37" s="91" t="s">
        <v>165</v>
      </c>
      <c r="D37" s="85" t="s">
        <v>183</v>
      </c>
      <c r="E37" s="85" t="s">
        <v>183</v>
      </c>
      <c r="F37" s="85" t="s">
        <v>183</v>
      </c>
      <c r="G37" s="85" t="s">
        <v>183</v>
      </c>
      <c r="H37" s="85" t="s">
        <v>183</v>
      </c>
      <c r="I37" s="85" t="s">
        <v>183</v>
      </c>
      <c r="J37" s="85" t="s">
        <v>183</v>
      </c>
      <c r="K37" s="85">
        <f>SUM(K38:K42)</f>
        <v>0</v>
      </c>
      <c r="L37" s="85">
        <f>SUM(L38:L42)</f>
        <v>0</v>
      </c>
      <c r="M37" s="85">
        <f>SUM(M38:M42)</f>
        <v>0</v>
      </c>
      <c r="N37" s="92">
        <f>SUM(D37:M37)</f>
        <v>0</v>
      </c>
      <c r="O37" s="90">
        <v>4</v>
      </c>
    </row>
    <row r="38" spans="1:15" s="90" customFormat="1" ht="30" customHeight="1" x14ac:dyDescent="0.25">
      <c r="A38" s="88"/>
      <c r="B38" s="88"/>
      <c r="C38" s="91" t="s">
        <v>166</v>
      </c>
      <c r="D38" s="85" t="s">
        <v>183</v>
      </c>
      <c r="E38" s="85" t="s">
        <v>183</v>
      </c>
      <c r="F38" s="85" t="s">
        <v>183</v>
      </c>
      <c r="G38" s="85" t="s">
        <v>183</v>
      </c>
      <c r="H38" s="85" t="s">
        <v>183</v>
      </c>
      <c r="I38" s="85" t="s">
        <v>183</v>
      </c>
      <c r="J38" s="85" t="s">
        <v>183</v>
      </c>
      <c r="K38" s="85">
        <v>0</v>
      </c>
      <c r="L38" s="85">
        <v>0</v>
      </c>
      <c r="M38" s="85">
        <v>0</v>
      </c>
      <c r="N38" s="92">
        <f t="shared" ref="N38:N42" si="15">SUM(D38:M38)</f>
        <v>0</v>
      </c>
    </row>
    <row r="39" spans="1:15" s="90" customFormat="1" ht="30" customHeight="1" x14ac:dyDescent="0.25">
      <c r="A39" s="88"/>
      <c r="B39" s="88"/>
      <c r="C39" s="91" t="s">
        <v>167</v>
      </c>
      <c r="D39" s="85" t="s">
        <v>183</v>
      </c>
      <c r="E39" s="85" t="s">
        <v>183</v>
      </c>
      <c r="F39" s="85" t="s">
        <v>183</v>
      </c>
      <c r="G39" s="85" t="s">
        <v>183</v>
      </c>
      <c r="H39" s="85" t="s">
        <v>183</v>
      </c>
      <c r="I39" s="85" t="s">
        <v>183</v>
      </c>
      <c r="J39" s="85" t="s">
        <v>183</v>
      </c>
      <c r="K39" s="85">
        <v>0</v>
      </c>
      <c r="L39" s="85">
        <v>0</v>
      </c>
      <c r="M39" s="85">
        <v>0</v>
      </c>
      <c r="N39" s="92">
        <f t="shared" si="15"/>
        <v>0</v>
      </c>
    </row>
    <row r="40" spans="1:15" s="90" customFormat="1" ht="30" customHeight="1" x14ac:dyDescent="0.25">
      <c r="A40" s="88"/>
      <c r="B40" s="88"/>
      <c r="C40" s="91" t="s">
        <v>168</v>
      </c>
      <c r="D40" s="85" t="s">
        <v>183</v>
      </c>
      <c r="E40" s="85" t="s">
        <v>183</v>
      </c>
      <c r="F40" s="85" t="s">
        <v>183</v>
      </c>
      <c r="G40" s="85" t="s">
        <v>183</v>
      </c>
      <c r="H40" s="85" t="s">
        <v>183</v>
      </c>
      <c r="I40" s="85" t="s">
        <v>183</v>
      </c>
      <c r="J40" s="85" t="s">
        <v>183</v>
      </c>
      <c r="K40" s="85">
        <v>0</v>
      </c>
      <c r="L40" s="85">
        <v>0</v>
      </c>
      <c r="M40" s="85">
        <v>0</v>
      </c>
      <c r="N40" s="92">
        <f t="shared" si="15"/>
        <v>0</v>
      </c>
    </row>
    <row r="41" spans="1:15" s="90" customFormat="1" ht="30" customHeight="1" x14ac:dyDescent="0.25">
      <c r="A41" s="88"/>
      <c r="B41" s="88"/>
      <c r="C41" s="91" t="s">
        <v>169</v>
      </c>
      <c r="D41" s="85" t="s">
        <v>183</v>
      </c>
      <c r="E41" s="85" t="s">
        <v>183</v>
      </c>
      <c r="F41" s="85" t="s">
        <v>183</v>
      </c>
      <c r="G41" s="85" t="s">
        <v>183</v>
      </c>
      <c r="H41" s="85" t="s">
        <v>183</v>
      </c>
      <c r="I41" s="85" t="s">
        <v>183</v>
      </c>
      <c r="J41" s="85" t="s">
        <v>183</v>
      </c>
      <c r="K41" s="85">
        <v>0</v>
      </c>
      <c r="L41" s="85">
        <v>0</v>
      </c>
      <c r="M41" s="85">
        <v>0</v>
      </c>
      <c r="N41" s="92">
        <f t="shared" si="15"/>
        <v>0</v>
      </c>
    </row>
    <row r="42" spans="1:15" s="90" customFormat="1" ht="30" customHeight="1" x14ac:dyDescent="0.25">
      <c r="A42" s="88"/>
      <c r="B42" s="88"/>
      <c r="C42" s="91" t="s">
        <v>170</v>
      </c>
      <c r="D42" s="85" t="s">
        <v>183</v>
      </c>
      <c r="E42" s="85" t="s">
        <v>183</v>
      </c>
      <c r="F42" s="85" t="s">
        <v>183</v>
      </c>
      <c r="G42" s="85" t="s">
        <v>183</v>
      </c>
      <c r="H42" s="85" t="s">
        <v>183</v>
      </c>
      <c r="I42" s="85" t="s">
        <v>183</v>
      </c>
      <c r="J42" s="85" t="s">
        <v>183</v>
      </c>
      <c r="K42" s="85">
        <v>0</v>
      </c>
      <c r="L42" s="85">
        <v>0</v>
      </c>
      <c r="M42" s="85">
        <v>0</v>
      </c>
      <c r="N42" s="92">
        <f t="shared" si="15"/>
        <v>0</v>
      </c>
    </row>
    <row r="43" spans="1:15" s="90" customFormat="1" ht="30" customHeight="1" x14ac:dyDescent="0.25">
      <c r="A43" s="88" t="s">
        <v>184</v>
      </c>
      <c r="B43" s="88" t="s">
        <v>185</v>
      </c>
      <c r="C43" s="91" t="s">
        <v>165</v>
      </c>
      <c r="D43" s="92">
        <f t="shared" ref="D43:J43" si="16">SUM(D44:D48)</f>
        <v>84529.1</v>
      </c>
      <c r="E43" s="92">
        <f t="shared" si="16"/>
        <v>88009.2</v>
      </c>
      <c r="F43" s="92">
        <f t="shared" si="16"/>
        <v>93402.7</v>
      </c>
      <c r="G43" s="92">
        <f t="shared" si="16"/>
        <v>96693.1</v>
      </c>
      <c r="H43" s="92">
        <f t="shared" si="16"/>
        <v>77545</v>
      </c>
      <c r="I43" s="93">
        <f t="shared" si="16"/>
        <v>90995.1</v>
      </c>
      <c r="J43" s="93">
        <f t="shared" si="16"/>
        <v>82806.2</v>
      </c>
      <c r="K43" s="85">
        <f>SUM(K44:K48)</f>
        <v>99262.7</v>
      </c>
      <c r="L43" s="85">
        <f>SUM(L44:L48)</f>
        <v>115190.39999999999</v>
      </c>
      <c r="M43" s="85">
        <f>SUM(M44:M48)</f>
        <v>116557.7</v>
      </c>
      <c r="N43" s="92">
        <f>SUM(D43:M43)</f>
        <v>944991.19999999984</v>
      </c>
      <c r="O43" s="90">
        <v>4</v>
      </c>
    </row>
    <row r="44" spans="1:15" s="90" customFormat="1" ht="30" customHeight="1" x14ac:dyDescent="0.25">
      <c r="A44" s="88"/>
      <c r="B44" s="88"/>
      <c r="C44" s="91" t="s">
        <v>166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3">
        <v>0</v>
      </c>
      <c r="J44" s="93">
        <v>0</v>
      </c>
      <c r="K44" s="85">
        <v>0</v>
      </c>
      <c r="L44" s="85">
        <v>0</v>
      </c>
      <c r="M44" s="85">
        <v>0</v>
      </c>
      <c r="N44" s="92">
        <f t="shared" ref="N44:N48" si="17">SUM(D44:M44)</f>
        <v>0</v>
      </c>
    </row>
    <row r="45" spans="1:15" s="90" customFormat="1" ht="30" customHeight="1" x14ac:dyDescent="0.25">
      <c r="A45" s="88"/>
      <c r="B45" s="88"/>
      <c r="C45" s="91" t="s">
        <v>167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3">
        <v>0</v>
      </c>
      <c r="J45" s="93">
        <v>0</v>
      </c>
      <c r="K45" s="85">
        <v>0</v>
      </c>
      <c r="L45" s="85">
        <v>0</v>
      </c>
      <c r="M45" s="85">
        <v>0</v>
      </c>
      <c r="N45" s="92">
        <f t="shared" si="17"/>
        <v>0</v>
      </c>
    </row>
    <row r="46" spans="1:15" s="90" customFormat="1" ht="30" customHeight="1" x14ac:dyDescent="0.25">
      <c r="A46" s="88"/>
      <c r="B46" s="88"/>
      <c r="C46" s="91" t="s">
        <v>168</v>
      </c>
      <c r="D46" s="92">
        <v>84529.1</v>
      </c>
      <c r="E46" s="92">
        <v>88009.2</v>
      </c>
      <c r="F46" s="92">
        <v>93402.7</v>
      </c>
      <c r="G46" s="92">
        <v>96693.1</v>
      </c>
      <c r="H46" s="92">
        <v>77545</v>
      </c>
      <c r="I46" s="93">
        <v>90995.1</v>
      </c>
      <c r="J46" s="93">
        <v>82806.2</v>
      </c>
      <c r="K46" s="85">
        <v>99262.7</v>
      </c>
      <c r="L46" s="85">
        <v>115190.39999999999</v>
      </c>
      <c r="M46" s="85">
        <v>116557.7</v>
      </c>
      <c r="N46" s="92">
        <f t="shared" si="17"/>
        <v>944991.19999999984</v>
      </c>
    </row>
    <row r="47" spans="1:15" s="90" customFormat="1" ht="30" customHeight="1" x14ac:dyDescent="0.25">
      <c r="A47" s="88"/>
      <c r="B47" s="88"/>
      <c r="C47" s="91" t="s">
        <v>169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3">
        <v>0</v>
      </c>
      <c r="J47" s="93">
        <v>0</v>
      </c>
      <c r="K47" s="85">
        <v>0</v>
      </c>
      <c r="L47" s="85">
        <v>0</v>
      </c>
      <c r="M47" s="85">
        <v>0</v>
      </c>
      <c r="N47" s="92">
        <f t="shared" si="17"/>
        <v>0</v>
      </c>
    </row>
    <row r="48" spans="1:15" s="90" customFormat="1" ht="30" customHeight="1" x14ac:dyDescent="0.25">
      <c r="A48" s="88"/>
      <c r="B48" s="88"/>
      <c r="C48" s="91" t="s">
        <v>170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3">
        <v>0</v>
      </c>
      <c r="J48" s="93">
        <v>0</v>
      </c>
      <c r="K48" s="85">
        <v>0</v>
      </c>
      <c r="L48" s="85">
        <v>0</v>
      </c>
      <c r="M48" s="85">
        <v>0</v>
      </c>
      <c r="N48" s="92">
        <f t="shared" si="17"/>
        <v>0</v>
      </c>
    </row>
    <row r="49" spans="1:15" s="90" customFormat="1" ht="30" customHeight="1" x14ac:dyDescent="0.25">
      <c r="A49" s="88" t="s">
        <v>186</v>
      </c>
      <c r="B49" s="88" t="s">
        <v>187</v>
      </c>
      <c r="C49" s="91" t="s">
        <v>165</v>
      </c>
      <c r="D49" s="92">
        <f>SUM(D50:D54)</f>
        <v>72700.100000000006</v>
      </c>
      <c r="E49" s="92">
        <f>SUM(E50:E54)</f>
        <v>152211.29999999999</v>
      </c>
      <c r="F49" s="92">
        <f>SUM(F50:F54)</f>
        <v>205749.1</v>
      </c>
      <c r="G49" s="92">
        <f>SUM(G50:G54)</f>
        <v>176004.89999999997</v>
      </c>
      <c r="H49" s="92" t="s">
        <v>183</v>
      </c>
      <c r="I49" s="93" t="s">
        <v>183</v>
      </c>
      <c r="J49" s="93" t="s">
        <v>183</v>
      </c>
      <c r="K49" s="85" t="s">
        <v>183</v>
      </c>
      <c r="L49" s="85" t="s">
        <v>183</v>
      </c>
      <c r="M49" s="85" t="s">
        <v>183</v>
      </c>
      <c r="N49" s="92">
        <f>SUM(D49:J49)</f>
        <v>606665.39999999991</v>
      </c>
      <c r="O49" s="90" t="s">
        <v>188</v>
      </c>
    </row>
    <row r="50" spans="1:15" s="90" customFormat="1" ht="30" customHeight="1" x14ac:dyDescent="0.25">
      <c r="A50" s="88"/>
      <c r="B50" s="88"/>
      <c r="C50" s="91" t="s">
        <v>166</v>
      </c>
      <c r="D50" s="92">
        <v>34662.699999999997</v>
      </c>
      <c r="E50" s="92">
        <v>83096.08</v>
      </c>
      <c r="F50" s="92">
        <v>89216.1</v>
      </c>
      <c r="G50" s="92">
        <v>76330.399999999994</v>
      </c>
      <c r="H50" s="92" t="s">
        <v>183</v>
      </c>
      <c r="I50" s="93" t="s">
        <v>183</v>
      </c>
      <c r="J50" s="93" t="s">
        <v>183</v>
      </c>
      <c r="K50" s="85" t="s">
        <v>183</v>
      </c>
      <c r="L50" s="85" t="s">
        <v>183</v>
      </c>
      <c r="M50" s="85" t="s">
        <v>183</v>
      </c>
      <c r="N50" s="92">
        <f t="shared" ref="N50:N54" si="18">SUM(D50:J50)</f>
        <v>283305.28000000003</v>
      </c>
    </row>
    <row r="51" spans="1:15" s="90" customFormat="1" ht="30" customHeight="1" x14ac:dyDescent="0.25">
      <c r="A51" s="88"/>
      <c r="B51" s="88"/>
      <c r="C51" s="91" t="s">
        <v>167</v>
      </c>
      <c r="D51" s="92">
        <v>14855.5</v>
      </c>
      <c r="E51" s="92">
        <v>45377.72</v>
      </c>
      <c r="F51" s="92">
        <v>46973.599999999999</v>
      </c>
      <c r="G51" s="92">
        <v>48172.7</v>
      </c>
      <c r="H51" s="92" t="s">
        <v>183</v>
      </c>
      <c r="I51" s="93" t="s">
        <v>183</v>
      </c>
      <c r="J51" s="93" t="s">
        <v>183</v>
      </c>
      <c r="K51" s="85" t="s">
        <v>183</v>
      </c>
      <c r="L51" s="85" t="s">
        <v>183</v>
      </c>
      <c r="M51" s="85" t="s">
        <v>183</v>
      </c>
      <c r="N51" s="92">
        <f t="shared" si="18"/>
        <v>155379.52000000002</v>
      </c>
    </row>
    <row r="52" spans="1:15" s="90" customFormat="1" ht="30" customHeight="1" x14ac:dyDescent="0.25">
      <c r="A52" s="88"/>
      <c r="B52" s="88"/>
      <c r="C52" s="91" t="s">
        <v>168</v>
      </c>
      <c r="D52" s="92">
        <v>23181.9</v>
      </c>
      <c r="E52" s="92">
        <v>23737.5</v>
      </c>
      <c r="F52" s="92">
        <v>68756</v>
      </c>
      <c r="G52" s="92">
        <f>36694.8+13833.7</f>
        <v>50528.5</v>
      </c>
      <c r="H52" s="92" t="s">
        <v>183</v>
      </c>
      <c r="I52" s="93" t="s">
        <v>183</v>
      </c>
      <c r="J52" s="93" t="s">
        <v>183</v>
      </c>
      <c r="K52" s="85" t="s">
        <v>183</v>
      </c>
      <c r="L52" s="85" t="s">
        <v>183</v>
      </c>
      <c r="M52" s="85" t="s">
        <v>183</v>
      </c>
      <c r="N52" s="92">
        <f t="shared" si="18"/>
        <v>166203.9</v>
      </c>
    </row>
    <row r="53" spans="1:15" s="90" customFormat="1" ht="30" customHeight="1" x14ac:dyDescent="0.25">
      <c r="A53" s="88"/>
      <c r="B53" s="88"/>
      <c r="C53" s="91" t="s">
        <v>169</v>
      </c>
      <c r="D53" s="92">
        <v>0</v>
      </c>
      <c r="E53" s="92">
        <v>0</v>
      </c>
      <c r="F53" s="92">
        <v>0</v>
      </c>
      <c r="G53" s="92">
        <v>0</v>
      </c>
      <c r="H53" s="92" t="s">
        <v>183</v>
      </c>
      <c r="I53" s="93" t="s">
        <v>183</v>
      </c>
      <c r="J53" s="93" t="s">
        <v>183</v>
      </c>
      <c r="K53" s="85" t="s">
        <v>183</v>
      </c>
      <c r="L53" s="85" t="s">
        <v>183</v>
      </c>
      <c r="M53" s="85" t="s">
        <v>183</v>
      </c>
      <c r="N53" s="92">
        <f t="shared" si="18"/>
        <v>0</v>
      </c>
    </row>
    <row r="54" spans="1:15" s="90" customFormat="1" ht="30" customHeight="1" x14ac:dyDescent="0.25">
      <c r="A54" s="88"/>
      <c r="B54" s="88"/>
      <c r="C54" s="91" t="s">
        <v>170</v>
      </c>
      <c r="D54" s="92">
        <v>0</v>
      </c>
      <c r="E54" s="92">
        <v>0</v>
      </c>
      <c r="F54" s="92">
        <v>803.4</v>
      </c>
      <c r="G54" s="92">
        <v>973.3</v>
      </c>
      <c r="H54" s="92" t="s">
        <v>183</v>
      </c>
      <c r="I54" s="93" t="s">
        <v>183</v>
      </c>
      <c r="J54" s="93" t="s">
        <v>183</v>
      </c>
      <c r="K54" s="85" t="s">
        <v>183</v>
      </c>
      <c r="L54" s="85" t="s">
        <v>183</v>
      </c>
      <c r="M54" s="85" t="s">
        <v>183</v>
      </c>
      <c r="N54" s="92">
        <f t="shared" si="18"/>
        <v>1776.6999999999998</v>
      </c>
    </row>
    <row r="55" spans="1:15" s="90" customFormat="1" ht="63" x14ac:dyDescent="0.25">
      <c r="A55" s="88" t="s">
        <v>189</v>
      </c>
      <c r="B55" s="88" t="s">
        <v>190</v>
      </c>
      <c r="C55" s="91" t="s">
        <v>165</v>
      </c>
      <c r="D55" s="92" t="s">
        <v>183</v>
      </c>
      <c r="E55" s="92" t="s">
        <v>183</v>
      </c>
      <c r="F55" s="92" t="s">
        <v>183</v>
      </c>
      <c r="G55" s="92" t="s">
        <v>183</v>
      </c>
      <c r="H55" s="92">
        <f>H56+H57+H58+H59+H60</f>
        <v>298987.40000000002</v>
      </c>
      <c r="I55" s="93">
        <f>I56+I57+I58</f>
        <v>300106.59999999998</v>
      </c>
      <c r="J55" s="93">
        <f>J56+J57+J58</f>
        <v>300000.59999999998</v>
      </c>
      <c r="K55" s="85">
        <f>K56+K57+K58</f>
        <v>230082.4</v>
      </c>
      <c r="L55" s="85">
        <f>L56+L57+L58</f>
        <v>65412.9</v>
      </c>
      <c r="M55" s="85">
        <f>M56+M57+M58</f>
        <v>64412.9</v>
      </c>
      <c r="N55" s="92">
        <f>SUM(H55:M55)</f>
        <v>1259002.7999999998</v>
      </c>
    </row>
    <row r="56" spans="1:15" s="90" customFormat="1" ht="30" customHeight="1" x14ac:dyDescent="0.25">
      <c r="A56" s="94"/>
      <c r="B56" s="95"/>
      <c r="C56" s="96" t="s">
        <v>166</v>
      </c>
      <c r="D56" s="97" t="s">
        <v>183</v>
      </c>
      <c r="E56" s="98" t="s">
        <v>183</v>
      </c>
      <c r="F56" s="97" t="s">
        <v>183</v>
      </c>
      <c r="G56" s="99" t="s">
        <v>183</v>
      </c>
      <c r="H56" s="99">
        <v>76818.399999999994</v>
      </c>
      <c r="I56" s="100">
        <v>71194.5</v>
      </c>
      <c r="J56" s="100">
        <v>51756.800000000003</v>
      </c>
      <c r="K56" s="100">
        <v>0</v>
      </c>
      <c r="L56" s="100">
        <v>0</v>
      </c>
      <c r="M56" s="100">
        <v>0</v>
      </c>
      <c r="N56" s="92">
        <f>SUM(H56:M56)</f>
        <v>199769.7</v>
      </c>
    </row>
    <row r="57" spans="1:15" s="90" customFormat="1" ht="30" customHeight="1" x14ac:dyDescent="0.25">
      <c r="A57" s="94"/>
      <c r="B57" s="95"/>
      <c r="C57" s="96" t="s">
        <v>167</v>
      </c>
      <c r="D57" s="97" t="s">
        <v>183</v>
      </c>
      <c r="E57" s="98" t="s">
        <v>183</v>
      </c>
      <c r="F57" s="97" t="s">
        <v>183</v>
      </c>
      <c r="G57" s="99" t="s">
        <v>183</v>
      </c>
      <c r="H57" s="99">
        <f>126259-H56</f>
        <v>49440.600000000006</v>
      </c>
      <c r="I57" s="100">
        <v>63936.6</v>
      </c>
      <c r="J57" s="100">
        <v>55960</v>
      </c>
      <c r="K57" s="100">
        <v>47950.400000000001</v>
      </c>
      <c r="L57" s="100">
        <v>27000</v>
      </c>
      <c r="M57" s="100">
        <v>27000</v>
      </c>
      <c r="N57" s="92">
        <f t="shared" ref="N57:N60" si="19">SUM(H57:M57)</f>
        <v>271287.59999999998</v>
      </c>
    </row>
    <row r="58" spans="1:15" s="90" customFormat="1" ht="30" customHeight="1" x14ac:dyDescent="0.25">
      <c r="A58" s="94"/>
      <c r="B58" s="95"/>
      <c r="C58" s="96" t="s">
        <v>168</v>
      </c>
      <c r="D58" s="97" t="s">
        <v>183</v>
      </c>
      <c r="E58" s="98" t="s">
        <v>183</v>
      </c>
      <c r="F58" s="97" t="s">
        <v>183</v>
      </c>
      <c r="G58" s="97" t="s">
        <v>183</v>
      </c>
      <c r="H58" s="97">
        <f>146374.1+24006.6</f>
        <v>170380.7</v>
      </c>
      <c r="I58" s="98">
        <f>132255.3+32720.2</f>
        <v>164975.5</v>
      </c>
      <c r="J58" s="98">
        <v>192283.8</v>
      </c>
      <c r="K58" s="100">
        <f>230082.4-K57</f>
        <v>182132</v>
      </c>
      <c r="L58" s="100">
        <f>65412.9-L57</f>
        <v>38412.9</v>
      </c>
      <c r="M58" s="100">
        <f>64412.9-M57</f>
        <v>37412.9</v>
      </c>
      <c r="N58" s="92">
        <f>SUM(H58:M58)</f>
        <v>785597.8</v>
      </c>
    </row>
    <row r="59" spans="1:15" s="90" customFormat="1" ht="30" customHeight="1" x14ac:dyDescent="0.25">
      <c r="A59" s="94"/>
      <c r="B59" s="95"/>
      <c r="C59" s="96" t="s">
        <v>169</v>
      </c>
      <c r="D59" s="97" t="s">
        <v>183</v>
      </c>
      <c r="E59" s="98" t="s">
        <v>183</v>
      </c>
      <c r="F59" s="97" t="s">
        <v>183</v>
      </c>
      <c r="G59" s="99" t="s">
        <v>183</v>
      </c>
      <c r="H59" s="99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92">
        <f t="shared" si="19"/>
        <v>0</v>
      </c>
    </row>
    <row r="60" spans="1:15" s="90" customFormat="1" ht="30" customHeight="1" x14ac:dyDescent="0.25">
      <c r="A60" s="94"/>
      <c r="B60" s="95"/>
      <c r="C60" s="96" t="s">
        <v>170</v>
      </c>
      <c r="D60" s="97" t="s">
        <v>183</v>
      </c>
      <c r="E60" s="97" t="s">
        <v>183</v>
      </c>
      <c r="F60" s="97" t="s">
        <v>183</v>
      </c>
      <c r="G60" s="99" t="s">
        <v>183</v>
      </c>
      <c r="H60" s="99">
        <f>1618.7+729</f>
        <v>2347.6999999999998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92">
        <f t="shared" si="19"/>
        <v>2347.6999999999998</v>
      </c>
    </row>
    <row r="61" spans="1:15" s="90" customFormat="1" ht="30" customHeight="1" x14ac:dyDescent="0.25">
      <c r="A61" s="94" t="s">
        <v>191</v>
      </c>
      <c r="B61" s="101" t="s">
        <v>192</v>
      </c>
      <c r="C61" s="96" t="s">
        <v>165</v>
      </c>
      <c r="D61" s="97">
        <f t="shared" ref="D61:J61" si="20">SUM(D62:D66)</f>
        <v>414.2</v>
      </c>
      <c r="E61" s="98">
        <f t="shared" si="20"/>
        <v>5551</v>
      </c>
      <c r="F61" s="97">
        <f t="shared" si="20"/>
        <v>1198.4000000000001</v>
      </c>
      <c r="G61" s="97">
        <f>SUM(G62:G66)</f>
        <v>6377.9</v>
      </c>
      <c r="H61" s="97">
        <f>SUM(H62:H66)</f>
        <v>31429.600000000002</v>
      </c>
      <c r="I61" s="98">
        <f t="shared" si="20"/>
        <v>24055.7</v>
      </c>
      <c r="J61" s="98">
        <f t="shared" si="20"/>
        <v>13198.1</v>
      </c>
      <c r="K61" s="98">
        <f>SUM(K62:K66)</f>
        <v>20</v>
      </c>
      <c r="L61" s="98">
        <f>SUM(L62:L66)</f>
        <v>0</v>
      </c>
      <c r="M61" s="98">
        <f>SUM(M62:M66)</f>
        <v>0</v>
      </c>
      <c r="N61" s="97">
        <f>SUM(D61:M61)</f>
        <v>82244.900000000009</v>
      </c>
      <c r="O61" s="90">
        <v>6</v>
      </c>
    </row>
    <row r="62" spans="1:15" s="90" customFormat="1" ht="30" customHeight="1" x14ac:dyDescent="0.25">
      <c r="A62" s="94"/>
      <c r="B62" s="95"/>
      <c r="C62" s="96" t="s">
        <v>166</v>
      </c>
      <c r="D62" s="97">
        <v>0</v>
      </c>
      <c r="E62" s="98">
        <v>0</v>
      </c>
      <c r="F62" s="97">
        <v>0</v>
      </c>
      <c r="G62" s="99">
        <v>0</v>
      </c>
      <c r="H62" s="99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97">
        <f t="shared" ref="N62:N66" si="21">SUM(D62:M62)</f>
        <v>0</v>
      </c>
    </row>
    <row r="63" spans="1:15" s="90" customFormat="1" ht="30" customHeight="1" x14ac:dyDescent="0.25">
      <c r="A63" s="94"/>
      <c r="B63" s="95"/>
      <c r="C63" s="96" t="s">
        <v>167</v>
      </c>
      <c r="D63" s="97">
        <v>300</v>
      </c>
      <c r="E63" s="98">
        <v>4252.6000000000004</v>
      </c>
      <c r="F63" s="97">
        <v>906</v>
      </c>
      <c r="G63" s="99">
        <v>4881.3999999999996</v>
      </c>
      <c r="H63" s="99">
        <f>9093.2+19271.2</f>
        <v>28364.400000000001</v>
      </c>
      <c r="I63" s="100">
        <f>19300+1649.9</f>
        <v>20949.900000000001</v>
      </c>
      <c r="J63" s="100">
        <v>11500</v>
      </c>
      <c r="K63" s="100">
        <v>0</v>
      </c>
      <c r="L63" s="100">
        <v>0</v>
      </c>
      <c r="M63" s="100">
        <v>0</v>
      </c>
      <c r="N63" s="97">
        <f t="shared" si="21"/>
        <v>71154.3</v>
      </c>
    </row>
    <row r="64" spans="1:15" s="90" customFormat="1" ht="30" customHeight="1" x14ac:dyDescent="0.25">
      <c r="A64" s="94"/>
      <c r="B64" s="95"/>
      <c r="C64" s="96" t="s">
        <v>168</v>
      </c>
      <c r="D64" s="97">
        <f>74.2+40</f>
        <v>114.2</v>
      </c>
      <c r="E64" s="98">
        <v>1298.4000000000001</v>
      </c>
      <c r="F64" s="97">
        <v>292.39999999999998</v>
      </c>
      <c r="G64" s="97">
        <f>817.5+581.3</f>
        <v>1398.8</v>
      </c>
      <c r="H64" s="97">
        <f>2588.3+366</f>
        <v>2954.3</v>
      </c>
      <c r="I64" s="98">
        <f>183.3+2898.4</f>
        <v>3081.7000000000003</v>
      </c>
      <c r="J64" s="98">
        <f>1698.1-J66</f>
        <v>1679.1</v>
      </c>
      <c r="K64" s="98">
        <v>20</v>
      </c>
      <c r="L64" s="98">
        <v>0</v>
      </c>
      <c r="M64" s="98">
        <v>0</v>
      </c>
      <c r="N64" s="97">
        <f t="shared" si="21"/>
        <v>10838.900000000001</v>
      </c>
    </row>
    <row r="65" spans="1:19" s="90" customFormat="1" ht="30" customHeight="1" x14ac:dyDescent="0.25">
      <c r="A65" s="94"/>
      <c r="B65" s="95"/>
      <c r="C65" s="96" t="s">
        <v>169</v>
      </c>
      <c r="D65" s="97">
        <v>0</v>
      </c>
      <c r="E65" s="98">
        <v>0</v>
      </c>
      <c r="F65" s="97">
        <v>0</v>
      </c>
      <c r="G65" s="99">
        <v>0</v>
      </c>
      <c r="H65" s="99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97">
        <f t="shared" si="21"/>
        <v>0</v>
      </c>
    </row>
    <row r="66" spans="1:19" s="90" customFormat="1" ht="30" customHeight="1" x14ac:dyDescent="0.25">
      <c r="A66" s="94"/>
      <c r="B66" s="95"/>
      <c r="C66" s="96" t="s">
        <v>170</v>
      </c>
      <c r="D66" s="97">
        <v>0</v>
      </c>
      <c r="E66" s="97">
        <v>0</v>
      </c>
      <c r="F66" s="97">
        <v>0</v>
      </c>
      <c r="G66" s="99">
        <v>97.7</v>
      </c>
      <c r="H66" s="99">
        <v>110.9</v>
      </c>
      <c r="I66" s="100">
        <v>24.1</v>
      </c>
      <c r="J66" s="100">
        <v>19</v>
      </c>
      <c r="K66" s="100">
        <v>0</v>
      </c>
      <c r="L66" s="100">
        <v>0</v>
      </c>
      <c r="M66" s="100">
        <v>0</v>
      </c>
      <c r="N66" s="97">
        <f t="shared" si="21"/>
        <v>251.70000000000002</v>
      </c>
    </row>
    <row r="67" spans="1:19" s="90" customFormat="1" ht="30" customHeight="1" x14ac:dyDescent="0.25">
      <c r="A67" s="101" t="s">
        <v>193</v>
      </c>
      <c r="B67" s="101" t="s">
        <v>194</v>
      </c>
      <c r="C67" s="102" t="s">
        <v>165</v>
      </c>
      <c r="D67" s="92">
        <f t="shared" ref="D67:I67" si="22">SUM(D68:D72)</f>
        <v>17712.5</v>
      </c>
      <c r="E67" s="92">
        <f t="shared" si="22"/>
        <v>20571.400000000001</v>
      </c>
      <c r="F67" s="92">
        <f t="shared" si="22"/>
        <v>8157.1</v>
      </c>
      <c r="G67" s="92">
        <f t="shared" si="22"/>
        <v>14597.4</v>
      </c>
      <c r="H67" s="92">
        <f t="shared" si="22"/>
        <v>617.79999999999995</v>
      </c>
      <c r="I67" s="93">
        <f t="shared" si="22"/>
        <v>1234.7</v>
      </c>
      <c r="J67" s="93">
        <f>SUM(J68:J72)</f>
        <v>86692.5</v>
      </c>
      <c r="K67" s="93">
        <f>SUM(K68:K72)</f>
        <v>25526.9</v>
      </c>
      <c r="L67" s="93">
        <f>SUM(L68:L72)</f>
        <v>73500</v>
      </c>
      <c r="M67" s="93">
        <f>SUM(M68:M72)</f>
        <v>85000</v>
      </c>
      <c r="N67" s="92">
        <f>SUM(D67:M67)</f>
        <v>333610.3</v>
      </c>
      <c r="O67" s="90">
        <v>7</v>
      </c>
    </row>
    <row r="68" spans="1:19" s="90" customFormat="1" ht="30" customHeight="1" x14ac:dyDescent="0.25">
      <c r="A68" s="103"/>
      <c r="B68" s="103"/>
      <c r="C68" s="102" t="s">
        <v>166</v>
      </c>
      <c r="D68" s="92">
        <v>0</v>
      </c>
      <c r="E68" s="92">
        <v>0</v>
      </c>
      <c r="F68" s="92">
        <v>0</v>
      </c>
      <c r="G68" s="84">
        <v>0</v>
      </c>
      <c r="H68" s="84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92">
        <f t="shared" ref="N68:N72" si="23">SUM(D68:M68)</f>
        <v>0</v>
      </c>
      <c r="P68" s="104"/>
      <c r="Q68" s="104"/>
      <c r="R68" s="104"/>
      <c r="S68" s="104"/>
    </row>
    <row r="69" spans="1:19" s="90" customFormat="1" ht="30" customHeight="1" x14ac:dyDescent="0.25">
      <c r="A69" s="103"/>
      <c r="B69" s="103"/>
      <c r="C69" s="102" t="s">
        <v>167</v>
      </c>
      <c r="D69" s="92">
        <v>0</v>
      </c>
      <c r="E69" s="92">
        <v>0</v>
      </c>
      <c r="F69" s="92">
        <v>0</v>
      </c>
      <c r="G69" s="84">
        <v>0</v>
      </c>
      <c r="H69" s="84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92">
        <f t="shared" si="23"/>
        <v>0</v>
      </c>
      <c r="P69" s="104"/>
      <c r="Q69" s="104"/>
      <c r="R69" s="104"/>
      <c r="S69" s="104"/>
    </row>
    <row r="70" spans="1:19" s="90" customFormat="1" ht="30" customHeight="1" x14ac:dyDescent="0.25">
      <c r="A70" s="103"/>
      <c r="B70" s="103"/>
      <c r="C70" s="102" t="s">
        <v>168</v>
      </c>
      <c r="D70" s="92">
        <v>17712.5</v>
      </c>
      <c r="E70" s="93">
        <v>20571.400000000001</v>
      </c>
      <c r="F70" s="92">
        <v>8157.1</v>
      </c>
      <c r="G70" s="92">
        <v>14597.4</v>
      </c>
      <c r="H70" s="92">
        <v>617.79999999999995</v>
      </c>
      <c r="I70" s="85">
        <v>1234.7</v>
      </c>
      <c r="J70" s="85">
        <v>86692.5</v>
      </c>
      <c r="K70" s="85">
        <v>25526.9</v>
      </c>
      <c r="L70" s="85">
        <v>73500</v>
      </c>
      <c r="M70" s="85">
        <v>85000</v>
      </c>
      <c r="N70" s="92">
        <f t="shared" si="23"/>
        <v>333610.3</v>
      </c>
      <c r="P70" s="104"/>
      <c r="Q70" s="104"/>
      <c r="R70" s="104"/>
      <c r="S70" s="104"/>
    </row>
    <row r="71" spans="1:19" s="90" customFormat="1" ht="30" customHeight="1" x14ac:dyDescent="0.25">
      <c r="A71" s="103"/>
      <c r="B71" s="103"/>
      <c r="C71" s="102" t="s">
        <v>169</v>
      </c>
      <c r="D71" s="92">
        <v>0</v>
      </c>
      <c r="E71" s="92">
        <v>0</v>
      </c>
      <c r="F71" s="92">
        <v>0</v>
      </c>
      <c r="G71" s="84">
        <v>0</v>
      </c>
      <c r="H71" s="84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92">
        <f t="shared" si="23"/>
        <v>0</v>
      </c>
      <c r="P71" s="104"/>
      <c r="Q71" s="104"/>
      <c r="R71" s="104"/>
      <c r="S71" s="104"/>
    </row>
    <row r="72" spans="1:19" s="90" customFormat="1" ht="30" customHeight="1" x14ac:dyDescent="0.25">
      <c r="A72" s="103"/>
      <c r="B72" s="103"/>
      <c r="C72" s="102" t="s">
        <v>170</v>
      </c>
      <c r="D72" s="92">
        <v>0</v>
      </c>
      <c r="E72" s="92">
        <v>0</v>
      </c>
      <c r="F72" s="92">
        <v>0</v>
      </c>
      <c r="G72" s="84">
        <v>0</v>
      </c>
      <c r="H72" s="84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92">
        <f t="shared" si="23"/>
        <v>0</v>
      </c>
    </row>
    <row r="73" spans="1:19" s="90" customFormat="1" ht="30" customHeight="1" x14ac:dyDescent="0.25">
      <c r="A73" s="101" t="s">
        <v>195</v>
      </c>
      <c r="B73" s="101" t="s">
        <v>196</v>
      </c>
      <c r="C73" s="102" t="s">
        <v>165</v>
      </c>
      <c r="D73" s="92" t="s">
        <v>183</v>
      </c>
      <c r="E73" s="93" t="s">
        <v>183</v>
      </c>
      <c r="F73" s="92" t="s">
        <v>183</v>
      </c>
      <c r="G73" s="84" t="s">
        <v>183</v>
      </c>
      <c r="H73" s="84" t="s">
        <v>183</v>
      </c>
      <c r="I73" s="93">
        <f>SUM(I74:I78)</f>
        <v>0</v>
      </c>
      <c r="J73" s="93">
        <f>SUM(J74:J78)</f>
        <v>90000</v>
      </c>
      <c r="K73" s="93">
        <f>SUM(K74:K78)</f>
        <v>35000</v>
      </c>
      <c r="L73" s="93">
        <f>SUM(L74:L78)</f>
        <v>35000</v>
      </c>
      <c r="M73" s="93">
        <f>SUM(M74:M78)</f>
        <v>35000</v>
      </c>
      <c r="N73" s="92">
        <f>SUM(D73:M73)</f>
        <v>195000</v>
      </c>
      <c r="O73" s="90">
        <v>7</v>
      </c>
    </row>
    <row r="74" spans="1:19" s="90" customFormat="1" ht="30" customHeight="1" x14ac:dyDescent="0.25">
      <c r="A74" s="103"/>
      <c r="B74" s="103"/>
      <c r="C74" s="102" t="s">
        <v>166</v>
      </c>
      <c r="D74" s="92" t="s">
        <v>183</v>
      </c>
      <c r="E74" s="93" t="s">
        <v>183</v>
      </c>
      <c r="F74" s="92" t="s">
        <v>183</v>
      </c>
      <c r="G74" s="84" t="s">
        <v>183</v>
      </c>
      <c r="H74" s="84" t="s">
        <v>183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92">
        <f t="shared" ref="N74:N78" si="24">SUM(D74:M74)</f>
        <v>0</v>
      </c>
      <c r="P74" s="104"/>
      <c r="Q74" s="104"/>
      <c r="R74" s="104"/>
      <c r="S74" s="104"/>
    </row>
    <row r="75" spans="1:19" s="90" customFormat="1" ht="30" customHeight="1" x14ac:dyDescent="0.25">
      <c r="A75" s="103"/>
      <c r="B75" s="103"/>
      <c r="C75" s="102" t="s">
        <v>167</v>
      </c>
      <c r="D75" s="92" t="s">
        <v>183</v>
      </c>
      <c r="E75" s="93" t="s">
        <v>183</v>
      </c>
      <c r="F75" s="92" t="s">
        <v>183</v>
      </c>
      <c r="G75" s="84" t="s">
        <v>183</v>
      </c>
      <c r="H75" s="84" t="s">
        <v>183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92">
        <f t="shared" si="24"/>
        <v>0</v>
      </c>
      <c r="P75" s="104"/>
      <c r="Q75" s="104"/>
      <c r="R75" s="104"/>
      <c r="S75" s="104"/>
    </row>
    <row r="76" spans="1:19" s="90" customFormat="1" ht="30" customHeight="1" x14ac:dyDescent="0.25">
      <c r="A76" s="103"/>
      <c r="B76" s="103"/>
      <c r="C76" s="102" t="s">
        <v>168</v>
      </c>
      <c r="D76" s="92" t="s">
        <v>183</v>
      </c>
      <c r="E76" s="93" t="s">
        <v>183</v>
      </c>
      <c r="F76" s="92" t="s">
        <v>183</v>
      </c>
      <c r="G76" s="84" t="s">
        <v>183</v>
      </c>
      <c r="H76" s="84" t="s">
        <v>183</v>
      </c>
      <c r="I76" s="93">
        <v>0</v>
      </c>
      <c r="J76" s="93">
        <v>90000</v>
      </c>
      <c r="K76" s="93">
        <v>35000</v>
      </c>
      <c r="L76" s="93">
        <v>35000</v>
      </c>
      <c r="M76" s="93">
        <v>35000</v>
      </c>
      <c r="N76" s="92">
        <f t="shared" si="24"/>
        <v>195000</v>
      </c>
      <c r="P76" s="104"/>
      <c r="Q76" s="104"/>
      <c r="R76" s="104"/>
      <c r="S76" s="104"/>
    </row>
    <row r="77" spans="1:19" s="90" customFormat="1" ht="30" customHeight="1" x14ac:dyDescent="0.25">
      <c r="A77" s="103"/>
      <c r="B77" s="103"/>
      <c r="C77" s="102" t="s">
        <v>169</v>
      </c>
      <c r="D77" s="92" t="s">
        <v>183</v>
      </c>
      <c r="E77" s="93" t="s">
        <v>183</v>
      </c>
      <c r="F77" s="92" t="s">
        <v>183</v>
      </c>
      <c r="G77" s="84" t="s">
        <v>183</v>
      </c>
      <c r="H77" s="84" t="s">
        <v>183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92">
        <f t="shared" si="24"/>
        <v>0</v>
      </c>
      <c r="P77" s="104"/>
      <c r="Q77" s="104"/>
      <c r="R77" s="104"/>
      <c r="S77" s="104"/>
    </row>
    <row r="78" spans="1:19" s="90" customFormat="1" ht="30" customHeight="1" x14ac:dyDescent="0.25">
      <c r="A78" s="103"/>
      <c r="B78" s="103"/>
      <c r="C78" s="102" t="s">
        <v>170</v>
      </c>
      <c r="D78" s="92" t="s">
        <v>183</v>
      </c>
      <c r="E78" s="93" t="s">
        <v>183</v>
      </c>
      <c r="F78" s="92" t="s">
        <v>183</v>
      </c>
      <c r="G78" s="84" t="s">
        <v>183</v>
      </c>
      <c r="H78" s="84" t="s">
        <v>183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92">
        <f t="shared" si="24"/>
        <v>0</v>
      </c>
    </row>
    <row r="79" spans="1:19" s="90" customFormat="1" ht="47.25" customHeight="1" x14ac:dyDescent="0.25">
      <c r="A79" s="101" t="s">
        <v>197</v>
      </c>
      <c r="B79" s="101" t="s">
        <v>198</v>
      </c>
      <c r="C79" s="102" t="s">
        <v>165</v>
      </c>
      <c r="D79" s="92" t="s">
        <v>183</v>
      </c>
      <c r="E79" s="93" t="s">
        <v>183</v>
      </c>
      <c r="F79" s="92" t="s">
        <v>183</v>
      </c>
      <c r="G79" s="84" t="s">
        <v>183</v>
      </c>
      <c r="H79" s="84" t="s">
        <v>183</v>
      </c>
      <c r="I79" s="84" t="s">
        <v>183</v>
      </c>
      <c r="J79" s="84" t="s">
        <v>183</v>
      </c>
      <c r="K79" s="93">
        <f>SUM(K80:K84)</f>
        <v>3670</v>
      </c>
      <c r="L79" s="93">
        <f>SUM(L80:L84)</f>
        <v>0</v>
      </c>
      <c r="M79" s="93">
        <f>SUM(M80:M84)</f>
        <v>0</v>
      </c>
      <c r="N79" s="92">
        <f>SUM(D79:M79)</f>
        <v>3670</v>
      </c>
      <c r="O79" s="90">
        <v>7</v>
      </c>
    </row>
    <row r="80" spans="1:19" s="90" customFormat="1" ht="30" customHeight="1" x14ac:dyDescent="0.25">
      <c r="A80" s="103"/>
      <c r="B80" s="103"/>
      <c r="C80" s="102" t="s">
        <v>166</v>
      </c>
      <c r="D80" s="92" t="s">
        <v>183</v>
      </c>
      <c r="E80" s="93" t="s">
        <v>183</v>
      </c>
      <c r="F80" s="92" t="s">
        <v>183</v>
      </c>
      <c r="G80" s="84" t="s">
        <v>183</v>
      </c>
      <c r="H80" s="84" t="s">
        <v>183</v>
      </c>
      <c r="I80" s="84" t="s">
        <v>183</v>
      </c>
      <c r="J80" s="84" t="s">
        <v>183</v>
      </c>
      <c r="K80" s="85">
        <v>0</v>
      </c>
      <c r="L80" s="85">
        <v>0</v>
      </c>
      <c r="M80" s="85">
        <v>0</v>
      </c>
      <c r="N80" s="92">
        <f t="shared" ref="N80:N84" si="25">SUM(D80:M80)</f>
        <v>0</v>
      </c>
      <c r="P80" s="104"/>
      <c r="Q80" s="104"/>
      <c r="R80" s="104"/>
      <c r="S80" s="104"/>
    </row>
    <row r="81" spans="1:19" s="90" customFormat="1" ht="30" customHeight="1" x14ac:dyDescent="0.25">
      <c r="A81" s="103"/>
      <c r="B81" s="103"/>
      <c r="C81" s="102" t="s">
        <v>167</v>
      </c>
      <c r="D81" s="92" t="s">
        <v>183</v>
      </c>
      <c r="E81" s="93" t="s">
        <v>183</v>
      </c>
      <c r="F81" s="92" t="s">
        <v>183</v>
      </c>
      <c r="G81" s="84" t="s">
        <v>183</v>
      </c>
      <c r="H81" s="84" t="s">
        <v>183</v>
      </c>
      <c r="I81" s="84" t="s">
        <v>183</v>
      </c>
      <c r="J81" s="84" t="s">
        <v>183</v>
      </c>
      <c r="K81" s="85">
        <v>0</v>
      </c>
      <c r="L81" s="85">
        <v>0</v>
      </c>
      <c r="M81" s="85">
        <v>0</v>
      </c>
      <c r="N81" s="92">
        <f t="shared" si="25"/>
        <v>0</v>
      </c>
      <c r="P81" s="104"/>
      <c r="Q81" s="104"/>
      <c r="R81" s="104"/>
      <c r="S81" s="104"/>
    </row>
    <row r="82" spans="1:19" s="90" customFormat="1" ht="30" customHeight="1" x14ac:dyDescent="0.25">
      <c r="A82" s="103"/>
      <c r="B82" s="103"/>
      <c r="C82" s="102" t="s">
        <v>168</v>
      </c>
      <c r="D82" s="92" t="s">
        <v>183</v>
      </c>
      <c r="E82" s="93" t="s">
        <v>183</v>
      </c>
      <c r="F82" s="92" t="s">
        <v>183</v>
      </c>
      <c r="G82" s="84" t="s">
        <v>183</v>
      </c>
      <c r="H82" s="84" t="s">
        <v>183</v>
      </c>
      <c r="I82" s="84" t="s">
        <v>183</v>
      </c>
      <c r="J82" s="84" t="s">
        <v>183</v>
      </c>
      <c r="K82" s="93">
        <v>3670</v>
      </c>
      <c r="L82" s="93">
        <v>0</v>
      </c>
      <c r="M82" s="93">
        <v>0</v>
      </c>
      <c r="N82" s="92">
        <f t="shared" si="25"/>
        <v>3670</v>
      </c>
      <c r="P82" s="104"/>
      <c r="Q82" s="104"/>
      <c r="R82" s="104"/>
      <c r="S82" s="104"/>
    </row>
    <row r="83" spans="1:19" s="90" customFormat="1" ht="30" customHeight="1" x14ac:dyDescent="0.25">
      <c r="A83" s="103"/>
      <c r="B83" s="103"/>
      <c r="C83" s="102" t="s">
        <v>169</v>
      </c>
      <c r="D83" s="92" t="s">
        <v>183</v>
      </c>
      <c r="E83" s="93" t="s">
        <v>183</v>
      </c>
      <c r="F83" s="92" t="s">
        <v>183</v>
      </c>
      <c r="G83" s="84" t="s">
        <v>183</v>
      </c>
      <c r="H83" s="84" t="s">
        <v>183</v>
      </c>
      <c r="I83" s="84" t="s">
        <v>183</v>
      </c>
      <c r="J83" s="84" t="s">
        <v>183</v>
      </c>
      <c r="K83" s="85">
        <v>0</v>
      </c>
      <c r="L83" s="85">
        <v>0</v>
      </c>
      <c r="M83" s="85">
        <v>0</v>
      </c>
      <c r="N83" s="92">
        <f t="shared" si="25"/>
        <v>0</v>
      </c>
      <c r="P83" s="104"/>
      <c r="Q83" s="104"/>
      <c r="R83" s="104"/>
      <c r="S83" s="104"/>
    </row>
    <row r="84" spans="1:19" s="90" customFormat="1" ht="30" customHeight="1" x14ac:dyDescent="0.25">
      <c r="A84" s="103"/>
      <c r="B84" s="103"/>
      <c r="C84" s="102" t="s">
        <v>170</v>
      </c>
      <c r="D84" s="92" t="s">
        <v>183</v>
      </c>
      <c r="E84" s="93" t="s">
        <v>183</v>
      </c>
      <c r="F84" s="92" t="s">
        <v>183</v>
      </c>
      <c r="G84" s="84" t="s">
        <v>183</v>
      </c>
      <c r="H84" s="84" t="s">
        <v>183</v>
      </c>
      <c r="I84" s="84" t="s">
        <v>183</v>
      </c>
      <c r="J84" s="84" t="s">
        <v>183</v>
      </c>
      <c r="K84" s="85">
        <v>0</v>
      </c>
      <c r="L84" s="85">
        <v>0</v>
      </c>
      <c r="M84" s="85">
        <v>0</v>
      </c>
      <c r="N84" s="92">
        <f t="shared" si="25"/>
        <v>0</v>
      </c>
    </row>
    <row r="85" spans="1:19" s="87" customFormat="1" ht="30" customHeight="1" x14ac:dyDescent="0.25">
      <c r="A85" s="105" t="s">
        <v>199</v>
      </c>
      <c r="B85" s="105" t="s">
        <v>200</v>
      </c>
      <c r="C85" s="89" t="s">
        <v>165</v>
      </c>
      <c r="D85" s="84">
        <f>D86+D87+D88+D89+D90</f>
        <v>206.7</v>
      </c>
      <c r="E85" s="85">
        <f>E86+E87+E88+E89+E90</f>
        <v>0</v>
      </c>
      <c r="F85" s="84">
        <f t="shared" ref="F85:N85" si="26">F86+F87+F88+F89+F90</f>
        <v>0</v>
      </c>
      <c r="G85" s="84">
        <f t="shared" si="26"/>
        <v>0</v>
      </c>
      <c r="H85" s="84">
        <f t="shared" si="26"/>
        <v>0</v>
      </c>
      <c r="I85" s="85">
        <f t="shared" si="26"/>
        <v>55</v>
      </c>
      <c r="J85" s="85">
        <f t="shared" si="26"/>
        <v>0</v>
      </c>
      <c r="K85" s="85">
        <v>0</v>
      </c>
      <c r="L85" s="85">
        <v>0</v>
      </c>
      <c r="M85" s="85">
        <v>0</v>
      </c>
      <c r="N85" s="84">
        <f t="shared" si="26"/>
        <v>261.7</v>
      </c>
    </row>
    <row r="86" spans="1:19" s="90" customFormat="1" ht="30" customHeight="1" x14ac:dyDescent="0.25">
      <c r="A86" s="88"/>
      <c r="B86" s="88"/>
      <c r="C86" s="91" t="s">
        <v>166</v>
      </c>
      <c r="D86" s="92">
        <f t="shared" ref="D86:J87" si="27">D92</f>
        <v>0</v>
      </c>
      <c r="E86" s="92">
        <f t="shared" si="27"/>
        <v>0</v>
      </c>
      <c r="F86" s="92">
        <f t="shared" si="27"/>
        <v>0</v>
      </c>
      <c r="G86" s="92">
        <f t="shared" si="27"/>
        <v>0</v>
      </c>
      <c r="H86" s="92">
        <f t="shared" si="27"/>
        <v>0</v>
      </c>
      <c r="I86" s="93">
        <f t="shared" si="27"/>
        <v>0</v>
      </c>
      <c r="J86" s="93">
        <f t="shared" si="27"/>
        <v>0</v>
      </c>
      <c r="K86" s="85">
        <v>0</v>
      </c>
      <c r="L86" s="85">
        <v>0</v>
      </c>
      <c r="M86" s="85">
        <v>0</v>
      </c>
      <c r="N86" s="92">
        <f>N92</f>
        <v>0</v>
      </c>
    </row>
    <row r="87" spans="1:19" s="90" customFormat="1" ht="30" customHeight="1" x14ac:dyDescent="0.25">
      <c r="A87" s="88"/>
      <c r="B87" s="88"/>
      <c r="C87" s="91" t="s">
        <v>167</v>
      </c>
      <c r="D87" s="92">
        <f t="shared" si="27"/>
        <v>85.3</v>
      </c>
      <c r="E87" s="92">
        <f t="shared" si="27"/>
        <v>0</v>
      </c>
      <c r="F87" s="92">
        <f t="shared" si="27"/>
        <v>0</v>
      </c>
      <c r="G87" s="92">
        <f>G93</f>
        <v>0</v>
      </c>
      <c r="H87" s="92">
        <f t="shared" si="27"/>
        <v>0</v>
      </c>
      <c r="I87" s="93">
        <f t="shared" si="27"/>
        <v>0</v>
      </c>
      <c r="J87" s="93">
        <f t="shared" si="27"/>
        <v>0</v>
      </c>
      <c r="K87" s="85">
        <v>0</v>
      </c>
      <c r="L87" s="85">
        <v>0</v>
      </c>
      <c r="M87" s="85">
        <v>0</v>
      </c>
      <c r="N87" s="92">
        <f>N93</f>
        <v>85.3</v>
      </c>
    </row>
    <row r="88" spans="1:19" s="90" customFormat="1" ht="30" customHeight="1" x14ac:dyDescent="0.25">
      <c r="A88" s="88"/>
      <c r="B88" s="88"/>
      <c r="C88" s="91" t="s">
        <v>168</v>
      </c>
      <c r="D88" s="92">
        <f>D94</f>
        <v>121.4</v>
      </c>
      <c r="E88" s="92">
        <v>0</v>
      </c>
      <c r="F88" s="92">
        <v>0</v>
      </c>
      <c r="G88" s="92">
        <v>0</v>
      </c>
      <c r="H88" s="92">
        <v>0</v>
      </c>
      <c r="I88" s="93">
        <f>I94</f>
        <v>55</v>
      </c>
      <c r="J88" s="93">
        <v>0</v>
      </c>
      <c r="K88" s="85">
        <v>0</v>
      </c>
      <c r="L88" s="85">
        <v>0</v>
      </c>
      <c r="M88" s="85">
        <v>0</v>
      </c>
      <c r="N88" s="92">
        <f>N94</f>
        <v>176.4</v>
      </c>
    </row>
    <row r="89" spans="1:19" s="90" customFormat="1" ht="30" customHeight="1" x14ac:dyDescent="0.25">
      <c r="A89" s="88"/>
      <c r="B89" s="88"/>
      <c r="C89" s="91" t="s">
        <v>173</v>
      </c>
      <c r="D89" s="92">
        <v>0</v>
      </c>
      <c r="E89" s="92">
        <v>0</v>
      </c>
      <c r="F89" s="92">
        <v>0</v>
      </c>
      <c r="G89" s="92">
        <v>0</v>
      </c>
      <c r="H89" s="92">
        <v>0</v>
      </c>
      <c r="I89" s="93">
        <v>0</v>
      </c>
      <c r="J89" s="93">
        <v>0</v>
      </c>
      <c r="K89" s="85">
        <v>0</v>
      </c>
      <c r="L89" s="85">
        <v>0</v>
      </c>
      <c r="M89" s="85">
        <v>0</v>
      </c>
      <c r="N89" s="92">
        <f>D89+E89+F89</f>
        <v>0</v>
      </c>
    </row>
    <row r="90" spans="1:19" s="90" customFormat="1" ht="30" customHeight="1" x14ac:dyDescent="0.25">
      <c r="A90" s="88"/>
      <c r="B90" s="88"/>
      <c r="C90" s="91" t="s">
        <v>170</v>
      </c>
      <c r="D90" s="92">
        <f t="shared" ref="D90:J90" si="28">D95+D102+D108+D114+D120+D126+D132</f>
        <v>0</v>
      </c>
      <c r="E90" s="92">
        <f t="shared" si="28"/>
        <v>0</v>
      </c>
      <c r="F90" s="92">
        <f t="shared" si="28"/>
        <v>0</v>
      </c>
      <c r="G90" s="92">
        <f t="shared" si="28"/>
        <v>0</v>
      </c>
      <c r="H90" s="92">
        <f t="shared" si="28"/>
        <v>0</v>
      </c>
      <c r="I90" s="93">
        <f t="shared" si="28"/>
        <v>0</v>
      </c>
      <c r="J90" s="93">
        <f t="shared" si="28"/>
        <v>0</v>
      </c>
      <c r="K90" s="85">
        <v>0</v>
      </c>
      <c r="L90" s="85">
        <v>0</v>
      </c>
      <c r="M90" s="85">
        <v>0</v>
      </c>
      <c r="N90" s="92">
        <f>D90+E90+F90</f>
        <v>0</v>
      </c>
      <c r="O90" s="104"/>
      <c r="P90" s="104"/>
      <c r="Q90" s="104"/>
      <c r="R90" s="104"/>
    </row>
    <row r="91" spans="1:19" s="90" customFormat="1" ht="30" customHeight="1" x14ac:dyDescent="0.25">
      <c r="A91" s="101" t="s">
        <v>201</v>
      </c>
      <c r="B91" s="101" t="s">
        <v>202</v>
      </c>
      <c r="C91" s="102" t="s">
        <v>165</v>
      </c>
      <c r="D91" s="92">
        <f t="shared" ref="D91:J91" si="29">SUM(D92:D96)</f>
        <v>206.7</v>
      </c>
      <c r="E91" s="92">
        <f t="shared" si="29"/>
        <v>0</v>
      </c>
      <c r="F91" s="92">
        <f t="shared" si="29"/>
        <v>0</v>
      </c>
      <c r="G91" s="92">
        <f t="shared" si="29"/>
        <v>0</v>
      </c>
      <c r="H91" s="92">
        <f t="shared" si="29"/>
        <v>0</v>
      </c>
      <c r="I91" s="93">
        <f t="shared" si="29"/>
        <v>55</v>
      </c>
      <c r="J91" s="93">
        <f t="shared" si="29"/>
        <v>0</v>
      </c>
      <c r="K91" s="85">
        <v>0</v>
      </c>
      <c r="L91" s="85">
        <v>0</v>
      </c>
      <c r="M91" s="85">
        <v>0</v>
      </c>
      <c r="N91" s="84">
        <f>SUM(D91:L91)</f>
        <v>261.7</v>
      </c>
    </row>
    <row r="92" spans="1:19" s="90" customFormat="1" ht="30" customHeight="1" x14ac:dyDescent="0.25">
      <c r="A92" s="103"/>
      <c r="B92" s="103"/>
      <c r="C92" s="102" t="s">
        <v>166</v>
      </c>
      <c r="D92" s="92">
        <v>0</v>
      </c>
      <c r="E92" s="92">
        <v>0</v>
      </c>
      <c r="F92" s="92">
        <v>0</v>
      </c>
      <c r="G92" s="84">
        <v>0</v>
      </c>
      <c r="H92" s="84">
        <v>0</v>
      </c>
      <c r="I92" s="85">
        <v>0</v>
      </c>
      <c r="J92" s="85">
        <v>0</v>
      </c>
      <c r="K92" s="85">
        <v>0</v>
      </c>
      <c r="L92" s="85">
        <v>0</v>
      </c>
      <c r="M92" s="85">
        <v>0</v>
      </c>
      <c r="N92" s="84">
        <f>SUM(D92:J92)</f>
        <v>0</v>
      </c>
      <c r="P92" s="104"/>
      <c r="Q92" s="104"/>
      <c r="R92" s="104"/>
      <c r="S92" s="104"/>
    </row>
    <row r="93" spans="1:19" s="90" customFormat="1" ht="30" customHeight="1" x14ac:dyDescent="0.25">
      <c r="A93" s="103"/>
      <c r="B93" s="103"/>
      <c r="C93" s="102" t="s">
        <v>167</v>
      </c>
      <c r="D93" s="92">
        <v>85.3</v>
      </c>
      <c r="E93" s="92">
        <v>0</v>
      </c>
      <c r="F93" s="92">
        <v>0</v>
      </c>
      <c r="G93" s="84">
        <v>0</v>
      </c>
      <c r="H93" s="84">
        <v>0</v>
      </c>
      <c r="I93" s="85">
        <v>0</v>
      </c>
      <c r="J93" s="85">
        <v>0</v>
      </c>
      <c r="K93" s="85">
        <v>0</v>
      </c>
      <c r="L93" s="85">
        <v>0</v>
      </c>
      <c r="M93" s="85">
        <v>0</v>
      </c>
      <c r="N93" s="84">
        <f>SUM(D93:J93)</f>
        <v>85.3</v>
      </c>
      <c r="P93" s="104"/>
      <c r="Q93" s="104"/>
      <c r="R93" s="104"/>
      <c r="S93" s="104"/>
    </row>
    <row r="94" spans="1:19" s="90" customFormat="1" ht="30" customHeight="1" x14ac:dyDescent="0.25">
      <c r="A94" s="103"/>
      <c r="B94" s="103"/>
      <c r="C94" s="102" t="s">
        <v>168</v>
      </c>
      <c r="D94" s="92">
        <v>121.4</v>
      </c>
      <c r="E94" s="92">
        <v>0</v>
      </c>
      <c r="F94" s="92">
        <v>0</v>
      </c>
      <c r="G94" s="92">
        <v>0</v>
      </c>
      <c r="H94" s="92">
        <v>0</v>
      </c>
      <c r="I94" s="93">
        <v>55</v>
      </c>
      <c r="J94" s="93">
        <v>0</v>
      </c>
      <c r="K94" s="85">
        <v>0</v>
      </c>
      <c r="L94" s="85">
        <v>0</v>
      </c>
      <c r="M94" s="85">
        <v>0</v>
      </c>
      <c r="N94" s="84">
        <f>SUM(D94:J94)</f>
        <v>176.4</v>
      </c>
      <c r="P94" s="104"/>
      <c r="Q94" s="104"/>
      <c r="R94" s="104"/>
      <c r="S94" s="104"/>
    </row>
    <row r="95" spans="1:19" s="90" customFormat="1" ht="30" customHeight="1" x14ac:dyDescent="0.25">
      <c r="A95" s="103"/>
      <c r="B95" s="103"/>
      <c r="C95" s="102" t="s">
        <v>169</v>
      </c>
      <c r="D95" s="92">
        <v>0</v>
      </c>
      <c r="E95" s="92">
        <v>0</v>
      </c>
      <c r="F95" s="92">
        <v>0</v>
      </c>
      <c r="G95" s="84">
        <v>0</v>
      </c>
      <c r="H95" s="84">
        <v>0</v>
      </c>
      <c r="I95" s="85">
        <v>0</v>
      </c>
      <c r="J95" s="85">
        <v>0</v>
      </c>
      <c r="K95" s="85">
        <v>0</v>
      </c>
      <c r="L95" s="85">
        <v>0</v>
      </c>
      <c r="M95" s="85">
        <v>0</v>
      </c>
      <c r="N95" s="84">
        <f>SUM(D95:J95)</f>
        <v>0</v>
      </c>
      <c r="P95" s="104"/>
      <c r="Q95" s="104"/>
      <c r="R95" s="104"/>
      <c r="S95" s="104"/>
    </row>
    <row r="96" spans="1:19" s="90" customFormat="1" ht="30" customHeight="1" x14ac:dyDescent="0.25">
      <c r="A96" s="103"/>
      <c r="B96" s="103"/>
      <c r="C96" s="102" t="s">
        <v>170</v>
      </c>
      <c r="D96" s="92">
        <v>0</v>
      </c>
      <c r="E96" s="92">
        <v>0</v>
      </c>
      <c r="F96" s="92">
        <v>0</v>
      </c>
      <c r="G96" s="84">
        <v>0</v>
      </c>
      <c r="H96" s="84">
        <v>0</v>
      </c>
      <c r="I96" s="85">
        <v>0</v>
      </c>
      <c r="J96" s="85">
        <v>0</v>
      </c>
      <c r="K96" s="85">
        <v>0</v>
      </c>
      <c r="L96" s="85">
        <v>0</v>
      </c>
      <c r="M96" s="85">
        <v>0</v>
      </c>
      <c r="N96" s="84">
        <f>SUM(D96:J96)</f>
        <v>0</v>
      </c>
    </row>
    <row r="97" spans="1:14" s="90" customFormat="1" ht="30" customHeight="1" x14ac:dyDescent="0.25">
      <c r="A97" s="154" t="s">
        <v>208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3"/>
      <c r="M97" s="153"/>
      <c r="N97" s="152"/>
    </row>
    <row r="98" spans="1:14" ht="43.5" customHeight="1" x14ac:dyDescent="0.25">
      <c r="F98" s="108"/>
      <c r="N98" s="109" t="s">
        <v>203</v>
      </c>
    </row>
    <row r="99" spans="1:14" ht="43.5" customHeight="1" x14ac:dyDescent="0.25">
      <c r="F99" s="108"/>
    </row>
    <row r="100" spans="1:14" ht="43.5" customHeight="1" x14ac:dyDescent="0.25">
      <c r="F100" s="108"/>
    </row>
    <row r="101" spans="1:14" ht="43.5" customHeight="1" x14ac:dyDescent="0.25">
      <c r="F101" s="108"/>
    </row>
    <row r="102" spans="1:14" ht="43.5" customHeight="1" x14ac:dyDescent="0.25">
      <c r="F102" s="108"/>
    </row>
    <row r="103" spans="1:14" ht="43.5" customHeight="1" x14ac:dyDescent="0.25">
      <c r="F103" s="108"/>
    </row>
    <row r="104" spans="1:14" ht="43.5" customHeight="1" x14ac:dyDescent="0.25">
      <c r="F104" s="108"/>
    </row>
  </sheetData>
  <mergeCells count="10">
    <mergeCell ref="A97:K97"/>
    <mergeCell ref="B19:B20"/>
    <mergeCell ref="B25:B26"/>
    <mergeCell ref="A1:N1"/>
    <mergeCell ref="A2:N2"/>
    <mergeCell ref="A3:N3"/>
    <mergeCell ref="A4:A5"/>
    <mergeCell ref="B4:B5"/>
    <mergeCell ref="C4:C5"/>
    <mergeCell ref="D4:N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8" fitToHeight="0" orientation="landscape" r:id="rId1"/>
  <headerFooter>
    <firstFooter>&amp;LПриложение 5 к муниципальной программе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таблица 1 </vt:lpstr>
      <vt:lpstr>таблица 2</vt:lpstr>
      <vt:lpstr>таблица 3 2025-2027 реш 05.12</vt:lpstr>
      <vt:lpstr>'таблица 1 '!Заголовки_для_печати</vt:lpstr>
      <vt:lpstr>'таблица 2'!Заголовки_для_печати</vt:lpstr>
      <vt:lpstr>'таблица 3 2025-2027 реш 05.12'!Заголовки_для_печати</vt:lpstr>
      <vt:lpstr>'таблица 1 '!Область_печати</vt:lpstr>
      <vt:lpstr>'таблица 2'!Область_печати</vt:lpstr>
      <vt:lpstr>'таблица 3 2025-2027 реш 05.12'!Область_печати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Бондаренко Оксана Богдановна</dc:creator>
  <cp:lastModifiedBy>Бондаренко Оксана Богдановна</cp:lastModifiedBy>
  <dcterms:created xsi:type="dcterms:W3CDTF">2024-12-25T13:20:27Z</dcterms:created>
  <dcterms:modified xsi:type="dcterms:W3CDTF">2024-12-26T11:00:35Z</dcterms:modified>
</cp:coreProperties>
</file>